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S:\CRS\BCRC\Decision Making Tools\Preg-Checking Tool Elad MBA project\"/>
    </mc:Choice>
  </mc:AlternateContent>
  <bookViews>
    <workbookView xWindow="0" yWindow="0" windowWidth="21600" windowHeight="11190" xr2:uid="{B66B9C64-EEAA-4A14-B3D7-43B2AA8B6BD5}"/>
  </bookViews>
  <sheets>
    <sheet name="Basic Model - 2017" sheetId="6" r:id="rId1"/>
    <sheet name="Basic Model" sheetId="4" state="hidden" r:id="rId2"/>
    <sheet name="Basic Model - update %" sheetId="5" state="hidden" r:id="rId3"/>
  </sheets>
  <definedNames>
    <definedName name="_xlnm.Print_Area" localSheetId="1">'Basic Model'!$A$1:$G$107</definedName>
    <definedName name="_xlnm.Print_Area" localSheetId="0">'Basic Model - 2017'!$A$1:$G$107</definedName>
    <definedName name="_xlnm.Print_Area" localSheetId="2">'Basic Model - update %'!$A$1:$G$107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6" l="1"/>
  <c r="E90" i="6" s="1"/>
  <c r="C22" i="6" s="1"/>
  <c r="C71" i="6"/>
  <c r="C21" i="6" s="1"/>
  <c r="A71" i="6"/>
  <c r="B67" i="6"/>
  <c r="B66" i="6"/>
  <c r="B65" i="6"/>
  <c r="B60" i="6"/>
  <c r="B59" i="6"/>
  <c r="E58" i="6"/>
  <c r="D57" i="6"/>
  <c r="F56" i="6"/>
  <c r="A90" i="6" s="1"/>
  <c r="C56" i="6"/>
  <c r="G52" i="6"/>
  <c r="F52" i="6"/>
  <c r="C52" i="6"/>
  <c r="E51" i="6"/>
  <c r="E50" i="6"/>
  <c r="E49" i="6"/>
  <c r="E48" i="6"/>
  <c r="A42" i="6"/>
  <c r="C36" i="6"/>
  <c r="C33" i="6"/>
  <c r="A33" i="6"/>
  <c r="C30" i="6"/>
  <c r="B30" i="6"/>
  <c r="A30" i="6"/>
  <c r="C15" i="6"/>
  <c r="D52" i="6" s="1"/>
  <c r="C13" i="6"/>
  <c r="B52" i="6" s="1"/>
  <c r="E52" i="6" l="1"/>
  <c r="C63" i="6"/>
  <c r="D61" i="6"/>
  <c r="D56" i="6"/>
  <c r="E60" i="6"/>
  <c r="E56" i="6"/>
  <c r="G56" i="6" s="1"/>
  <c r="E57" i="6"/>
  <c r="G57" i="6" s="1"/>
  <c r="A34" i="6" s="1"/>
  <c r="D66" i="6"/>
  <c r="D60" i="6"/>
  <c r="D63" i="6"/>
  <c r="D58" i="6"/>
  <c r="C65" i="6"/>
  <c r="D65" i="6"/>
  <c r="D62" i="6"/>
  <c r="D67" i="6"/>
  <c r="D59" i="6"/>
  <c r="E61" i="6"/>
  <c r="G58" i="6"/>
  <c r="E67" i="6"/>
  <c r="E62" i="6"/>
  <c r="E65" i="6"/>
  <c r="E59" i="6"/>
  <c r="E63" i="6"/>
  <c r="D64" i="6"/>
  <c r="E66" i="6"/>
  <c r="E64" i="6"/>
  <c r="C67" i="6"/>
  <c r="D30" i="6"/>
  <c r="A36" i="6"/>
  <c r="F61" i="6"/>
  <c r="C58" i="6"/>
  <c r="C60" i="6"/>
  <c r="C62" i="6"/>
  <c r="C64" i="6"/>
  <c r="C66" i="6"/>
  <c r="C57" i="6"/>
  <c r="C61" i="6"/>
  <c r="C59" i="6"/>
  <c r="C23" i="6" l="1"/>
  <c r="A37" i="6" s="1"/>
  <c r="G64" i="6"/>
  <c r="G62" i="6"/>
  <c r="G63" i="6"/>
  <c r="G61" i="6"/>
  <c r="C37" i="6" l="1"/>
  <c r="E37" i="6" s="1"/>
  <c r="E41" i="6" s="1"/>
  <c r="E42" i="6" s="1"/>
  <c r="C34" i="6"/>
  <c r="E34" i="6" s="1"/>
  <c r="C41" i="6" s="1"/>
  <c r="C42" i="6" s="1"/>
  <c r="C90" i="5" l="1"/>
  <c r="E90" i="5" s="1"/>
  <c r="C22" i="5" s="1"/>
  <c r="C71" i="5"/>
  <c r="C21" i="5" s="1"/>
  <c r="A71" i="5"/>
  <c r="D67" i="5"/>
  <c r="B67" i="5"/>
  <c r="D66" i="5"/>
  <c r="C66" i="5"/>
  <c r="B66" i="5"/>
  <c r="D65" i="5"/>
  <c r="B65" i="5"/>
  <c r="D64" i="5"/>
  <c r="D62" i="5"/>
  <c r="D60" i="5"/>
  <c r="B60" i="5"/>
  <c r="B59" i="5"/>
  <c r="E58" i="5"/>
  <c r="E56" i="5" s="1"/>
  <c r="D57" i="5"/>
  <c r="D58" i="5" s="1"/>
  <c r="F56" i="5"/>
  <c r="D56" i="5"/>
  <c r="C56" i="5"/>
  <c r="C64" i="5" s="1"/>
  <c r="G52" i="5"/>
  <c r="F52" i="5"/>
  <c r="C52" i="5"/>
  <c r="E51" i="5"/>
  <c r="E50" i="5"/>
  <c r="E49" i="5"/>
  <c r="E48" i="5"/>
  <c r="A42" i="5"/>
  <c r="C36" i="5"/>
  <c r="C33" i="5"/>
  <c r="A33" i="5"/>
  <c r="C30" i="5"/>
  <c r="B30" i="5"/>
  <c r="A30" i="5"/>
  <c r="C15" i="5"/>
  <c r="D52" i="5" s="1"/>
  <c r="E52" i="5" s="1"/>
  <c r="C13" i="5"/>
  <c r="B52" i="5" s="1"/>
  <c r="F61" i="5" l="1"/>
  <c r="A36" i="5"/>
  <c r="G58" i="5"/>
  <c r="E60" i="5"/>
  <c r="E62" i="5"/>
  <c r="G62" i="5" s="1"/>
  <c r="E64" i="5"/>
  <c r="G64" i="5" s="1"/>
  <c r="A90" i="5"/>
  <c r="C57" i="5"/>
  <c r="C61" i="5"/>
  <c r="E66" i="5"/>
  <c r="D30" i="5"/>
  <c r="C59" i="5"/>
  <c r="D61" i="5"/>
  <c r="C63" i="5"/>
  <c r="E57" i="5"/>
  <c r="G57" i="5" s="1"/>
  <c r="A34" i="5" s="1"/>
  <c r="D59" i="5"/>
  <c r="E61" i="5"/>
  <c r="G61" i="5" s="1"/>
  <c r="D63" i="5"/>
  <c r="C65" i="5"/>
  <c r="C67" i="5"/>
  <c r="G56" i="5"/>
  <c r="E59" i="5"/>
  <c r="E63" i="5"/>
  <c r="G63" i="5" s="1"/>
  <c r="C58" i="5"/>
  <c r="E65" i="5"/>
  <c r="E67" i="5"/>
  <c r="C60" i="5"/>
  <c r="C62" i="5"/>
  <c r="C13" i="4"/>
  <c r="B52" i="4" s="1"/>
  <c r="C15" i="4"/>
  <c r="D52" i="4" s="1"/>
  <c r="E52" i="4" s="1"/>
  <c r="C71" i="4"/>
  <c r="C21" i="4" s="1"/>
  <c r="E90" i="4"/>
  <c r="C22" i="4" s="1"/>
  <c r="C56" i="4"/>
  <c r="C62" i="4" s="1"/>
  <c r="C90" i="4"/>
  <c r="F56" i="4"/>
  <c r="A90" i="4"/>
  <c r="A71" i="4"/>
  <c r="E58" i="4"/>
  <c r="E65" i="4" s="1"/>
  <c r="E67" i="4"/>
  <c r="D57" i="4"/>
  <c r="D67" i="4" s="1"/>
  <c r="B67" i="4"/>
  <c r="B66" i="4"/>
  <c r="B65" i="4"/>
  <c r="C30" i="4"/>
  <c r="B30" i="4"/>
  <c r="F61" i="4"/>
  <c r="E60" i="4"/>
  <c r="B60" i="4"/>
  <c r="B59" i="4"/>
  <c r="G58" i="4"/>
  <c r="G52" i="4"/>
  <c r="F52" i="4"/>
  <c r="C52" i="4"/>
  <c r="E51" i="4"/>
  <c r="E50" i="4"/>
  <c r="E49" i="4"/>
  <c r="E48" i="4"/>
  <c r="A30" i="4"/>
  <c r="A42" i="4"/>
  <c r="C36" i="4"/>
  <c r="C33" i="4"/>
  <c r="A33" i="4"/>
  <c r="D58" i="4" l="1"/>
  <c r="C58" i="4"/>
  <c r="D63" i="4"/>
  <c r="D60" i="4"/>
  <c r="D66" i="4"/>
  <c r="C23" i="5"/>
  <c r="A37" i="5" s="1"/>
  <c r="C34" i="5"/>
  <c r="E34" i="5" s="1"/>
  <c r="C41" i="5" s="1"/>
  <c r="C42" i="5" s="1"/>
  <c r="C37" i="5"/>
  <c r="D61" i="4"/>
  <c r="C66" i="4"/>
  <c r="C59" i="4"/>
  <c r="D56" i="4"/>
  <c r="C60" i="4"/>
  <c r="C64" i="4"/>
  <c r="D30" i="4"/>
  <c r="E61" i="4"/>
  <c r="E57" i="4"/>
  <c r="D59" i="4"/>
  <c r="C63" i="4"/>
  <c r="G63" i="4" s="1"/>
  <c r="E59" i="4"/>
  <c r="C61" i="4"/>
  <c r="D64" i="4"/>
  <c r="C65" i="4"/>
  <c r="C67" i="4"/>
  <c r="E56" i="4"/>
  <c r="G56" i="4" s="1"/>
  <c r="E63" i="4"/>
  <c r="E66" i="4"/>
  <c r="C57" i="4"/>
  <c r="D62" i="4"/>
  <c r="E64" i="4"/>
  <c r="G64" i="4" s="1"/>
  <c r="D65" i="4"/>
  <c r="E62" i="4"/>
  <c r="C23" i="4" s="1"/>
  <c r="A37" i="4" s="1"/>
  <c r="A36" i="4"/>
  <c r="G61" i="4" l="1"/>
  <c r="E37" i="5"/>
  <c r="E41" i="5" s="1"/>
  <c r="E42" i="5" s="1"/>
  <c r="G62" i="4"/>
  <c r="C34" i="4" s="1"/>
  <c r="G57" i="4"/>
  <c r="A34" i="4" s="1"/>
  <c r="E34" i="4" l="1"/>
  <c r="C41" i="4" s="1"/>
  <c r="C42" i="4" s="1"/>
  <c r="C37" i="4"/>
  <c r="E37" i="4" s="1"/>
  <c r="E41" i="4" s="1"/>
  <c r="E42" i="4" s="1"/>
</calcChain>
</file>

<file path=xl/sharedStrings.xml><?xml version="1.0" encoding="utf-8"?>
<sst xmlns="http://schemas.openxmlformats.org/spreadsheetml/2006/main" count="381" uniqueCount="102">
  <si>
    <t>PART A - PRODUCER INFORMATION</t>
  </si>
  <si>
    <t xml:space="preserve">Section 1 - Basic Model </t>
  </si>
  <si>
    <t>Factors</t>
  </si>
  <si>
    <t>Additional Information</t>
  </si>
  <si>
    <t>Herd size</t>
  </si>
  <si>
    <t>Enter number of cows and first-calf heifers</t>
  </si>
  <si>
    <t>Management System</t>
  </si>
  <si>
    <t xml:space="preserve">Expected month of preg-checking </t>
  </si>
  <si>
    <t>B</t>
  </si>
  <si>
    <t>A = September; B = October; C = November</t>
  </si>
  <si>
    <t>Anticipated calving month</t>
  </si>
  <si>
    <t>A = February; B = March; C = April; D = May</t>
  </si>
  <si>
    <t>Current fall cull-cow market price (CAN$/lbs)</t>
  </si>
  <si>
    <t>Enter the current fall market price for cull cows in Canadian dollars per pound</t>
  </si>
  <si>
    <t>Enter the month for the price above</t>
  </si>
  <si>
    <t>Section 2 - Optional advanced model for custom herd management data</t>
  </si>
  <si>
    <t>Cost of production ($/cow/day)</t>
  </si>
  <si>
    <t>Enter the cost of production for overwintering per day for each cow, based on your production system (including feed and overhead costs)</t>
  </si>
  <si>
    <t>Length of winter feeding period (days)</t>
  </si>
  <si>
    <t>Average for Western Canada = 160</t>
  </si>
  <si>
    <t>ADG (lbs/day)</t>
  </si>
  <si>
    <t>Average Daily Gain, per cow</t>
  </si>
  <si>
    <t>Vet cost for preg checking one cow</t>
  </si>
  <si>
    <t>Enter the cost charged by your veterinarian to preg-check one cow</t>
  </si>
  <si>
    <t>Herd open rate</t>
  </si>
  <si>
    <t>Percentage of herd that is open in the fall (average for Western Canada = 7.7%)</t>
  </si>
  <si>
    <t>Estimated number of cull cows</t>
  </si>
  <si>
    <t>Calculated from the herd size and herd open rate (average of 7.7% if not specified)</t>
  </si>
  <si>
    <t>Month cull cows marketed</t>
  </si>
  <si>
    <t>Calculated using month preg checked and number of day on feed</t>
  </si>
  <si>
    <t>Estimated cull-cow price at marketing ($)</t>
  </si>
  <si>
    <t>Estimated based on the month from above</t>
  </si>
  <si>
    <t>Feed and overhead cost  ($/cow/day)</t>
  </si>
  <si>
    <t>Number of days on feed</t>
  </si>
  <si>
    <r>
      <t xml:space="preserve">Total days that cull cows are separated and fed until marketed </t>
    </r>
    <r>
      <rPr>
        <sz val="11"/>
        <rFont val="Calibri"/>
        <family val="2"/>
        <scheme val="minor"/>
      </rPr>
      <t>(may enter between 1 and 350 days)</t>
    </r>
  </si>
  <si>
    <t>Average Daily Gain per head you expect to attain for the group</t>
  </si>
  <si>
    <t>Cost of production ($/day/head)</t>
  </si>
  <si>
    <t>Winter feeding period (days)</t>
  </si>
  <si>
    <t>ADG (lbs)</t>
  </si>
  <si>
    <t>Total gain over winter (lbs/cow)</t>
  </si>
  <si>
    <t>Difference</t>
  </si>
  <si>
    <t>PART B - ECONOMIC MODEL RESULTS</t>
  </si>
  <si>
    <t>Gain/head</t>
  </si>
  <si>
    <t>Gain for herd</t>
  </si>
  <si>
    <t>PART C - ECONOMIC MODEL DATA</t>
  </si>
  <si>
    <t>Section 1 - Management Factors</t>
  </si>
  <si>
    <t>Total gain over winter (lbs)</t>
  </si>
  <si>
    <t>Vet cost ($)</t>
  </si>
  <si>
    <t>Average herd open rate (%)</t>
  </si>
  <si>
    <t xml:space="preserve">Drylot </t>
  </si>
  <si>
    <t>Swathed barley grazing</t>
  </si>
  <si>
    <t>Bale grazing</t>
  </si>
  <si>
    <t>Standing corn grazing</t>
  </si>
  <si>
    <r>
      <t xml:space="preserve">Producer custom data </t>
    </r>
    <r>
      <rPr>
        <b/>
        <sz val="11"/>
        <color theme="1"/>
        <rFont val="Calibri"/>
        <family val="2"/>
        <scheme val="minor"/>
      </rPr>
      <t>(based on entries from Part A, Section 2</t>
    </r>
    <r>
      <rPr>
        <sz val="11"/>
        <color theme="1"/>
        <rFont val="Calibri"/>
        <family val="2"/>
        <scheme val="minor"/>
      </rPr>
      <t>)</t>
    </r>
  </si>
  <si>
    <t>Section 2 - Market Factors</t>
  </si>
  <si>
    <t>Month</t>
  </si>
  <si>
    <t>Historic average price (CAN$/lbs)</t>
  </si>
  <si>
    <t>Projected price based on known September price (CAN$/lbs)</t>
  </si>
  <si>
    <t>Projected price based on known October price (CAN$/lbs)</t>
  </si>
  <si>
    <t>Projected price based on known November price (CAN$/lbs)</t>
  </si>
  <si>
    <t>Average Live Weight (lbs)</t>
  </si>
  <si>
    <t>Value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</si>
  <si>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</si>
  <si>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</si>
  <si>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</si>
  <si>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</si>
  <si>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</si>
  <si>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</si>
  <si>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</si>
  <si>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</si>
  <si>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</si>
  <si>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</si>
  <si>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</si>
  <si>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</si>
  <si>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Section 3 - Veterinary Cost and Open Rate</t>
  </si>
  <si>
    <t>Average vet cost of preg check/cow ($)</t>
  </si>
  <si>
    <t>Average herd open rate</t>
  </si>
  <si>
    <t>Section 4 - Percent Changes in Cattle Price</t>
  </si>
  <si>
    <t>Monthly Averages from 2005-2014  (CAN$/cwt)</t>
  </si>
  <si>
    <t>Percent change based on September market price</t>
  </si>
  <si>
    <t>Percent change based on  October market price</t>
  </si>
  <si>
    <t>Percent change based on  November market price</t>
  </si>
  <si>
    <t>June</t>
  </si>
  <si>
    <t>Section 5 - Cull Cow Separate Group Data</t>
  </si>
  <si>
    <t>Weight of cull cow after feed</t>
  </si>
  <si>
    <t>Day cull cow was separated</t>
  </si>
  <si>
    <t>Day cull cow was marketed</t>
  </si>
  <si>
    <t>Section 2 - Cull Cows Fed as Separate Group</t>
  </si>
  <si>
    <t>Section 3 - Management Factors</t>
  </si>
  <si>
    <t>Section 4 - Cull Cow Value</t>
  </si>
  <si>
    <t>Section 5 - Cull Cow Value when fed separate</t>
  </si>
  <si>
    <t>Please note that rows 11-17 and 44-91 are hidden.</t>
  </si>
  <si>
    <t>A = drylot; B = swathed barley; C = bale grazing; D = standing corn grazing</t>
  </si>
  <si>
    <t>Control: Do not preg-check (cull in spring)</t>
  </si>
  <si>
    <t>Preg-check in the fall and cull immediately</t>
  </si>
  <si>
    <t>Preg-check in the fall and feed cull cows separate</t>
  </si>
  <si>
    <r>
      <t xml:space="preserve">Note: </t>
    </r>
    <r>
      <rPr>
        <sz val="11"/>
        <color theme="1"/>
        <rFont val="Calibri"/>
        <family val="2"/>
        <scheme val="minor"/>
      </rPr>
      <t>This may be different than your production cost for overwintering.</t>
    </r>
  </si>
  <si>
    <t>b</t>
  </si>
  <si>
    <t>c</t>
  </si>
  <si>
    <t>Monthly Averages from 2007-2016  (CAN$/cwt)</t>
  </si>
  <si>
    <t>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</si>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</sst>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0.0%"/>
    <numFmt numFmtId="168" formatCode="0.0"/>
    <numFmt numFmtId="169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A5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Font="1" applyAlignment="1">
      <alignment vertical="center"/>
    </xf>
    <xf numFmtId="0" fontId="6" fillId="4" borderId="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7" fontId="2" fillId="0" borderId="22" xfId="3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4" borderId="2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6" fontId="11" fillId="5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3" borderId="6" xfId="0" applyFont="1" applyFill="1" applyBorder="1" applyAlignment="1">
      <alignment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2" fontId="0" fillId="4" borderId="9" xfId="1" applyNumberFormat="1" applyFont="1" applyFill="1" applyBorder="1" applyAlignment="1">
      <alignment horizontal="center" vertical="center" wrapText="1"/>
    </xf>
    <xf numFmtId="167" fontId="0" fillId="4" borderId="10" xfId="3" applyNumberFormat="1" applyFont="1" applyFill="1" applyBorder="1" applyAlignment="1">
      <alignment horizontal="center" vertical="center" wrapText="1"/>
    </xf>
    <xf numFmtId="169" fontId="0" fillId="0" borderId="9" xfId="2" applyNumberFormat="1" applyFont="1" applyBorder="1" applyAlignment="1">
      <alignment horizontal="center" vertical="center"/>
    </xf>
    <xf numFmtId="169" fontId="13" fillId="3" borderId="9" xfId="2" applyNumberFormat="1" applyFont="1" applyFill="1" applyBorder="1" applyAlignment="1">
      <alignment horizontal="center" vertical="center"/>
    </xf>
    <xf numFmtId="169" fontId="0" fillId="0" borderId="9" xfId="2" applyNumberFormat="1" applyFont="1" applyFill="1" applyBorder="1" applyAlignment="1">
      <alignment horizontal="center" vertical="center"/>
    </xf>
    <xf numFmtId="166" fontId="0" fillId="0" borderId="10" xfId="2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6" fontId="0" fillId="0" borderId="9" xfId="2" applyNumberFormat="1" applyFont="1" applyBorder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166" fontId="0" fillId="0" borderId="9" xfId="2" applyNumberFormat="1" applyFont="1" applyFill="1" applyBorder="1" applyAlignment="1">
      <alignment vertical="center"/>
    </xf>
    <xf numFmtId="166" fontId="0" fillId="0" borderId="31" xfId="2" applyNumberFormat="1" applyFont="1" applyFill="1" applyBorder="1" applyAlignment="1">
      <alignment vertical="center"/>
    </xf>
    <xf numFmtId="0" fontId="14" fillId="0" borderId="0" xfId="0" applyFont="1"/>
    <xf numFmtId="49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49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0" fontId="0" fillId="0" borderId="9" xfId="3" applyNumberFormat="1" applyFont="1" applyFill="1" applyBorder="1" applyAlignment="1">
      <alignment vertical="center"/>
    </xf>
    <xf numFmtId="10" fontId="0" fillId="0" borderId="31" xfId="3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0" fontId="0" fillId="0" borderId="9" xfId="3" applyNumberFormat="1" applyFont="1" applyBorder="1" applyAlignment="1">
      <alignment vertical="center"/>
    </xf>
    <xf numFmtId="10" fontId="0" fillId="3" borderId="9" xfId="3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2" fontId="2" fillId="0" borderId="25" xfId="2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2" fontId="2" fillId="6" borderId="13" xfId="0" applyNumberFormat="1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2" fontId="2" fillId="6" borderId="26" xfId="0" applyNumberFormat="1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2" fontId="2" fillId="6" borderId="15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0" fontId="0" fillId="0" borderId="9" xfId="3" applyNumberFormat="1" applyFont="1" applyFill="1" applyBorder="1" applyAlignment="1">
      <alignment vertical="center"/>
    </xf>
    <xf numFmtId="10" fontId="0" fillId="0" borderId="31" xfId="3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0" fontId="0" fillId="0" borderId="9" xfId="3" applyNumberFormat="1" applyFont="1" applyBorder="1" applyAlignment="1">
      <alignment vertical="center"/>
    </xf>
    <xf numFmtId="10" fontId="0" fillId="3" borderId="9" xfId="3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169" fontId="0" fillId="10" borderId="9" xfId="2" applyNumberFormat="1" applyFont="1" applyFill="1" applyBorder="1" applyAlignment="1">
      <alignment horizontal="center" vertical="center"/>
    </xf>
    <xf numFmtId="166" fontId="0" fillId="10" borderId="9" xfId="2" applyNumberFormat="1" applyFont="1" applyFill="1" applyBorder="1" applyAlignment="1">
      <alignment vertical="center"/>
    </xf>
    <xf numFmtId="166" fontId="0" fillId="10" borderId="31" xfId="2" applyNumberFormat="1" applyFont="1" applyFill="1" applyBorder="1" applyAlignment="1">
      <alignment vertical="center"/>
    </xf>
    <xf numFmtId="0" fontId="6" fillId="10" borderId="9" xfId="0" applyFont="1" applyFill="1" applyBorder="1" applyAlignment="1">
      <alignment horizontal="center" vertical="center" wrapText="1"/>
    </xf>
    <xf numFmtId="10" fontId="0" fillId="10" borderId="9" xfId="3" applyNumberFormat="1" applyFont="1" applyFill="1" applyBorder="1" applyAlignment="1">
      <alignment vertical="center"/>
    </xf>
    <xf numFmtId="10" fontId="0" fillId="10" borderId="31" xfId="3" applyNumberFormat="1" applyFont="1" applyFill="1" applyBorder="1" applyAlignment="1">
      <alignment vertical="center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8" fillId="3" borderId="24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/>
    </xf>
    <xf numFmtId="2" fontId="11" fillId="3" borderId="12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166" fontId="1" fillId="0" borderId="31" xfId="2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168" fontId="0" fillId="0" borderId="9" xfId="0" applyNumberFormat="1" applyFont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166" fontId="1" fillId="0" borderId="9" xfId="2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9" xfId="1" applyNumberFormat="1" applyFont="1" applyBorder="1" applyAlignment="1">
      <alignment horizontal="center" vertical="center"/>
    </xf>
    <xf numFmtId="167" fontId="0" fillId="0" borderId="10" xfId="3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10" fontId="0" fillId="10" borderId="24" xfId="3" applyNumberFormat="1" applyFont="1" applyFill="1" applyBorder="1" applyAlignment="1">
      <alignment horizontal="right" vertical="center"/>
    </xf>
    <xf numFmtId="10" fontId="0" fillId="10" borderId="17" xfId="3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0" fontId="0" fillId="3" borderId="24" xfId="3" applyNumberFormat="1" applyFont="1" applyFill="1" applyBorder="1" applyAlignment="1">
      <alignment horizontal="right" vertical="center"/>
    </xf>
    <xf numFmtId="10" fontId="0" fillId="3" borderId="17" xfId="3" applyNumberFormat="1" applyFont="1" applyFill="1" applyBorder="1" applyAlignment="1">
      <alignment horizontal="right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7" fontId="0" fillId="0" borderId="9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10" fontId="0" fillId="10" borderId="41" xfId="3" applyNumberFormat="1" applyFont="1" applyFill="1" applyBorder="1" applyAlignment="1">
      <alignment horizontal="right" vertical="center"/>
    </xf>
    <xf numFmtId="10" fontId="0" fillId="10" borderId="47" xfId="3" applyNumberFormat="1" applyFont="1" applyFill="1" applyBorder="1" applyAlignment="1">
      <alignment horizontal="right" vertical="center"/>
    </xf>
    <xf numFmtId="10" fontId="0" fillId="0" borderId="9" xfId="3" applyNumberFormat="1" applyFont="1" applyBorder="1" applyAlignment="1">
      <alignment vertical="center"/>
    </xf>
    <xf numFmtId="10" fontId="0" fillId="0" borderId="10" xfId="3" applyNumberFormat="1" applyFont="1" applyBorder="1" applyAlignment="1">
      <alignment vertical="center"/>
    </xf>
    <xf numFmtId="10" fontId="0" fillId="3" borderId="9" xfId="3" applyNumberFormat="1" applyFont="1" applyFill="1" applyBorder="1" applyAlignment="1">
      <alignment vertical="center"/>
    </xf>
    <xf numFmtId="10" fontId="0" fillId="3" borderId="10" xfId="3" applyNumberFormat="1" applyFont="1" applyFill="1" applyBorder="1" applyAlignment="1">
      <alignment vertical="center"/>
    </xf>
    <xf numFmtId="10" fontId="0" fillId="0" borderId="9" xfId="3" applyNumberFormat="1" applyFont="1" applyFill="1" applyBorder="1" applyAlignment="1">
      <alignment vertical="center"/>
    </xf>
    <xf numFmtId="10" fontId="0" fillId="0" borderId="10" xfId="3" applyNumberFormat="1" applyFont="1" applyFill="1" applyBorder="1" applyAlignment="1">
      <alignment vertical="center"/>
    </xf>
    <xf numFmtId="10" fontId="0" fillId="0" borderId="31" xfId="3" applyNumberFormat="1" applyFont="1" applyFill="1" applyBorder="1" applyAlignment="1">
      <alignment vertical="center"/>
    </xf>
    <xf numFmtId="10" fontId="0" fillId="0" borderId="32" xfId="3" applyNumberFormat="1" applyFont="1" applyFill="1" applyBorder="1" applyAlignment="1">
      <alignment vertical="center"/>
    </xf>
    <xf numFmtId="10" fontId="0" fillId="0" borderId="24" xfId="3" applyNumberFormat="1" applyFont="1" applyBorder="1" applyAlignment="1">
      <alignment horizontal="center" vertical="center"/>
    </xf>
    <xf numFmtId="10" fontId="0" fillId="0" borderId="17" xfId="3" applyNumberFormat="1" applyFont="1" applyBorder="1" applyAlignment="1">
      <alignment horizontal="center" vertical="center"/>
    </xf>
    <xf numFmtId="10" fontId="0" fillId="3" borderId="24" xfId="3" applyNumberFormat="1" applyFont="1" applyFill="1" applyBorder="1" applyAlignment="1">
      <alignment horizontal="center" vertical="center"/>
    </xf>
    <xf numFmtId="10" fontId="0" fillId="3" borderId="17" xfId="3" applyNumberFormat="1" applyFont="1" applyFill="1" applyBorder="1" applyAlignment="1">
      <alignment horizontal="center" vertical="center"/>
    </xf>
    <xf numFmtId="10" fontId="0" fillId="0" borderId="24" xfId="3" applyNumberFormat="1" applyFont="1" applyFill="1" applyBorder="1" applyAlignment="1">
      <alignment horizontal="center" vertical="center"/>
    </xf>
    <xf numFmtId="10" fontId="0" fillId="0" borderId="17" xfId="3" applyNumberFormat="1" applyFont="1" applyFill="1" applyBorder="1" applyAlignment="1">
      <alignment horizontal="center" vertical="center"/>
    </xf>
    <xf numFmtId="10" fontId="0" fillId="0" borderId="41" xfId="3" applyNumberFormat="1" applyFont="1" applyFill="1" applyBorder="1" applyAlignment="1">
      <alignment horizontal="center" vertical="center"/>
    </xf>
    <xf numFmtId="10" fontId="0" fillId="0" borderId="47" xfId="3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Loss</a:t>
            </a:r>
            <a:r>
              <a:rPr lang="en-US" sz="1200" baseline="0"/>
              <a:t>/</a:t>
            </a:r>
            <a:r>
              <a:rPr lang="en-US" sz="1200"/>
              <a:t>Gain</a:t>
            </a:r>
            <a:r>
              <a:rPr lang="en-US" sz="1200" baseline="0"/>
              <a:t> per Head </a:t>
            </a:r>
          </a:p>
          <a:p>
            <a:pPr>
              <a:defRPr/>
            </a:pPr>
            <a:r>
              <a:rPr lang="en-US" sz="1200" baseline="0"/>
              <a:t>Compared to No Preg-check and Culling in Spring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'Basic Model - 2017'!$C$40</c:f>
              <c:strCache>
                <c:ptCount val="1"/>
                <c:pt idx="0">
                  <c:v>Preg-check in the fall and cull immediately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'Basic Model - 2017'!$C$41</c:f>
              <c:numCache>
                <c:formatCode>"$"#,##0.00</c:formatCode>
                <c:ptCount val="1"/>
                <c:pt idx="0">
                  <c:v>-17.853315886156643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9-4640-8F79-F2B6B7F6F35C}"/>
            </c:ext>
          </c:extLst>
        </c:ser>
        <c:ser>
          <c:idx val="1"/>
          <c:order val="1"/>
          <c:tx>
            <c:strRef>
              <c:f>'Basic Model - 2017'!$E$40</c:f>
              <c:strCache>
                <c:ptCount val="1"/>
                <c:pt idx="0">
                  <c:v>Preg-check in the fall and feed cull cows separate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'Basic Model - 2017'!$E$41</c:f>
              <c:numCache>
                <c:formatCode>"$"#,##0.00</c:formatCode>
                <c:ptCount val="1"/>
                <c:pt idx="0">
                  <c:v>2.7821291873962295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99-4640-8F79-F2B6B7F6F35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34"/>
        <c:overlap val="-59"/>
        <c:axId val="124066432"/>
        <c:axId val="124068224"/>
      </c:barChart>
      <c:catAx>
        <c:axId val="124066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24068224"/>
        <c:crosses val="autoZero"/>
        <c:auto val="1"/>
        <c:lblAlgn val="ctr"/>
        <c:lblOffset val="100"/>
        <c:noMultiLvlLbl val="0"/>
      </c:catAx>
      <c:valAx>
        <c:axId val="124068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$/head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12406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Loss/Gain</a:t>
            </a:r>
            <a:r>
              <a:rPr lang="en-US" sz="1200" baseline="0"/>
              <a:t> for Herd </a:t>
            </a:r>
          </a:p>
          <a:p>
            <a:pPr>
              <a:defRPr/>
            </a:pPr>
            <a:r>
              <a:rPr lang="en-US" sz="1200" baseline="0"/>
              <a:t>Compared to No Preg-check and Culling in Spring</a:t>
            </a:r>
            <a:endParaRPr lang="en-US" sz="1200"/>
          </a:p>
        </c:rich>
      </c:tx>
      <c:layout>
        <c:manualLayout>
          <c:xMode val="edge"/>
          <c:yMode val="edge"/>
          <c:x val="0.15696522309711286"/>
          <c:y val="3.229528278171004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'Basic Model - 2017'!$C$40</c:f>
              <c:strCache>
                <c:ptCount val="1"/>
                <c:pt idx="0">
                  <c:v>Preg-check in the fall and cull immediately</c:v>
                </c:pt>
              </c:strCache>
            </c:strRef>
          </c:tx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'Basic Model - 2017'!$C$42</c:f>
              <c:numCache>
                <c:formatCode>"$"#,##0.00</c:formatCode>
                <c:ptCount val="1"/>
                <c:pt idx="0">
                  <c:v>-1785.3315886156643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5-4E26-ABF6-A93E0F9BFF48}"/>
            </c:ext>
          </c:extLst>
        </c:ser>
        <c:ser>
          <c:idx val="1"/>
          <c:order val="1"/>
          <c:tx>
            <c:strRef>
              <c:f>'Basic Model - 2017'!$E$40</c:f>
              <c:strCache>
                <c:ptCount val="1"/>
                <c:pt idx="0">
                  <c:v>Preg-check in the fall and feed cull cows separate</c:v>
                </c:pt>
              </c:strCache>
            </c:strRef>
          </c:tx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'Basic Model - 2017'!$E$42</c:f>
              <c:numCache>
                <c:formatCode>"$"#,##0.00</c:formatCode>
                <c:ptCount val="1"/>
                <c:pt idx="0">
                  <c:v>278.21291873962298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5-4E26-ABF6-A93E0F9BFF4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42"/>
        <c:overlap val="-59"/>
        <c:axId val="124111104"/>
        <c:axId val="124116992"/>
      </c:barChart>
      <c:catAx>
        <c:axId val="124111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4116992"/>
        <c:crosses val="autoZero"/>
        <c:auto val="1"/>
        <c:lblAlgn val="ctr"/>
        <c:lblOffset val="100"/>
        <c:noMultiLvlLbl val="0"/>
      </c:catAx>
      <c:valAx>
        <c:axId val="124116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$/herd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124111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Value of Cow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'Basic Model - 2017'!$A$33:$B$33</c:f>
              <c:strCache>
                <c:ptCount val="2"/>
                <c:pt idx="0">
                  <c:v>Value of cow in October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'Basic Model - 2017'!$A$38</c:f>
              <c:numCache>
                <c:formatCode>General</c:formatCode>
                <c:ptCount val="1"/>
              </c:numCache>
            </c:numRef>
          </c:cat>
          <c:val>
            <c:numRef>
              <c:f>'Basic Model - 2017'!$A$34:$B$34</c:f>
              <c:numCache>
                <c:formatCode>"$"#,##0.00</c:formatCode>
                <c:ptCount val="2"/>
                <c:pt idx="0">
                  <c:v>1235.1359094784855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D-4AA6-8732-51C1DE843268}"/>
            </c:ext>
          </c:extLst>
        </c:ser>
        <c:ser>
          <c:idx val="1"/>
          <c:order val="1"/>
          <c:tx>
            <c:strRef>
              <c:f>'Basic Model - 2017'!$C$36:$D$36</c:f>
              <c:strCache>
                <c:ptCount val="2"/>
                <c:pt idx="0">
                  <c:v>Value of cow in March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numFmt formatCode="&quot;$&quot;#,##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80D-4AA6-8732-51C1DE843268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'Basic Model - 2017'!$A$38</c:f>
              <c:numCache>
                <c:formatCode>General</c:formatCode>
                <c:ptCount val="1"/>
              </c:numCache>
            </c:numRef>
          </c:cat>
          <c:val>
            <c:numRef>
              <c:f>'Basic Model - 2017'!$C$37:$D$37</c:f>
              <c:numCache>
                <c:formatCode>"$"#,##0.00</c:formatCode>
                <c:ptCount val="2"/>
                <c:pt idx="0">
                  <c:v>1695.0439080000003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0D-4AA6-8732-51C1DE843268}"/>
            </c:ext>
          </c:extLst>
        </c:ser>
        <c:ser>
          <c:idx val="2"/>
          <c:order val="2"/>
          <c:tx>
            <c:strRef>
              <c:f>'Basic Model - 2017'!$A$36:$B$36</c:f>
              <c:strCache>
                <c:ptCount val="2"/>
                <c:pt idx="0">
                  <c:v>Value of separately fed Cow in March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'Basic Model - 2017'!$A$38</c:f>
              <c:numCache>
                <c:formatCode>General</c:formatCode>
                <c:ptCount val="1"/>
              </c:numCache>
            </c:numRef>
          </c:cat>
          <c:val>
            <c:numRef>
              <c:f>'Basic Model - 2017'!$A$37:$B$37</c:f>
              <c:numCache>
                <c:formatCode>"$"#,##0.00</c:formatCode>
                <c:ptCount val="2"/>
                <c:pt idx="0">
                  <c:v>1769.1287026415098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0D-4AA6-8732-51C1DE843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2"/>
        <c:axId val="127737216"/>
        <c:axId val="127759488"/>
      </c:barChart>
      <c:catAx>
        <c:axId val="1277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759488"/>
        <c:crosses val="autoZero"/>
        <c:auto val="1"/>
        <c:lblAlgn val="ctr"/>
        <c:lblOffset val="100"/>
        <c:noMultiLvlLbl val="0"/>
      </c:catAx>
      <c:valAx>
        <c:axId val="127759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$/head</a:t>
                </a:r>
              </a:p>
            </c:rich>
          </c:tx>
          <c:overlay val="0"/>
        </c:title>
        <c:numFmt formatCode="&quot;$&quot;#,##0" sourceLinked="0"/>
        <c:majorTickMark val="none"/>
        <c:minorTickMark val="none"/>
        <c:tickLblPos val="nextTo"/>
        <c:crossAx val="127737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Loss</a:t>
            </a:r>
            <a:r>
              <a:rPr lang="en-US" sz="1200" baseline="0"/>
              <a:t>/</a:t>
            </a:r>
            <a:r>
              <a:rPr lang="en-US" sz="1200"/>
              <a:t>Gain</a:t>
            </a:r>
            <a:r>
              <a:rPr lang="en-US" sz="1200" baseline="0"/>
              <a:t> per Head </a:t>
            </a:r>
          </a:p>
          <a:p>
            <a:pPr>
              <a:defRPr/>
            </a:pPr>
            <a:r>
              <a:rPr lang="en-US" sz="1200" baseline="0"/>
              <a:t>Compared to No Preg-check and Culling in Spring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'Basic Model'!$C$40</c:f>
              <c:strCache>
                <c:ptCount val="1"/>
                <c:pt idx="0">
                  <c:v>Preg-check in the fall and cull immediately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'Basic Model'!$C$41</c:f>
              <c:numCache>
                <c:formatCode>"$"#,##0.00</c:formatCode>
                <c:ptCount val="1"/>
                <c:pt idx="0">
                  <c:v>4.5127406133674368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C-40C3-B5BF-0A8B6AA2BB05}"/>
            </c:ext>
          </c:extLst>
        </c:ser>
        <c:ser>
          <c:idx val="1"/>
          <c:order val="1"/>
          <c:tx>
            <c:strRef>
              <c:f>'Basic Model'!$E$40</c:f>
              <c:strCache>
                <c:ptCount val="1"/>
                <c:pt idx="0">
                  <c:v>Preg-check in the fall and feed cull cows separate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'Basic Model'!$E$41</c:f>
              <c:numCache>
                <c:formatCode>"$"#,##0.00</c:formatCode>
                <c:ptCount val="1"/>
                <c:pt idx="0">
                  <c:v>11.257070194311542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C-40C3-B5BF-0A8B6AA2BB0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34"/>
        <c:overlap val="-59"/>
        <c:axId val="124066432"/>
        <c:axId val="124068224"/>
      </c:barChart>
      <c:catAx>
        <c:axId val="124066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24068224"/>
        <c:crosses val="autoZero"/>
        <c:auto val="1"/>
        <c:lblAlgn val="ctr"/>
        <c:lblOffset val="100"/>
        <c:noMultiLvlLbl val="0"/>
      </c:catAx>
      <c:valAx>
        <c:axId val="124068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$/head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12406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Loss/Gain</a:t>
            </a:r>
            <a:r>
              <a:rPr lang="en-US" sz="1200" baseline="0"/>
              <a:t> for Herd </a:t>
            </a:r>
          </a:p>
          <a:p>
            <a:pPr>
              <a:defRPr/>
            </a:pPr>
            <a:r>
              <a:rPr lang="en-US" sz="1200" baseline="0"/>
              <a:t>Compared to No Preg-check and Culling in Spring</a:t>
            </a:r>
            <a:endParaRPr lang="en-US" sz="1200"/>
          </a:p>
        </c:rich>
      </c:tx>
      <c:layout>
        <c:manualLayout>
          <c:xMode val="edge"/>
          <c:yMode val="edge"/>
          <c:x val="0.15696522309711286"/>
          <c:y val="3.229528278171004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'Basic Model'!$C$40</c:f>
              <c:strCache>
                <c:ptCount val="1"/>
                <c:pt idx="0">
                  <c:v>Preg-check in the fall and cull immediately</c:v>
                </c:pt>
              </c:strCache>
            </c:strRef>
          </c:tx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'Basic Model'!$C$42</c:f>
              <c:numCache>
                <c:formatCode>"$"#,##0.00</c:formatCode>
                <c:ptCount val="1"/>
                <c:pt idx="0">
                  <c:v>451.27406133674367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F-4112-8A1A-32495855A461}"/>
            </c:ext>
          </c:extLst>
        </c:ser>
        <c:ser>
          <c:idx val="1"/>
          <c:order val="1"/>
          <c:tx>
            <c:strRef>
              <c:f>'Basic Model'!$E$40</c:f>
              <c:strCache>
                <c:ptCount val="1"/>
                <c:pt idx="0">
                  <c:v>Preg-check in the fall and feed cull cows separate</c:v>
                </c:pt>
              </c:strCache>
            </c:strRef>
          </c:tx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'Basic Model'!$E$42</c:f>
              <c:numCache>
                <c:formatCode>"$"#,##0.00</c:formatCode>
                <c:ptCount val="1"/>
                <c:pt idx="0">
                  <c:v>1125.7070194311541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F-4112-8A1A-32495855A46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42"/>
        <c:overlap val="-59"/>
        <c:axId val="124111104"/>
        <c:axId val="124116992"/>
      </c:barChart>
      <c:catAx>
        <c:axId val="124111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4116992"/>
        <c:crosses val="autoZero"/>
        <c:auto val="1"/>
        <c:lblAlgn val="ctr"/>
        <c:lblOffset val="100"/>
        <c:noMultiLvlLbl val="0"/>
      </c:catAx>
      <c:valAx>
        <c:axId val="124116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$/herd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124111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Value of Cow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'Basic Model'!$A$33:$B$33</c:f>
              <c:strCache>
                <c:ptCount val="2"/>
                <c:pt idx="0">
                  <c:v>Value of cow in October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'Basic Model'!$A$38</c:f>
              <c:numCache>
                <c:formatCode>General</c:formatCode>
                <c:ptCount val="1"/>
              </c:numCache>
            </c:numRef>
          </c:cat>
          <c:val>
            <c:numRef>
              <c:f>'Basic Model'!$A$34:$B$34</c:f>
              <c:numCache>
                <c:formatCode>"$"#,##0.00</c:formatCode>
                <c:ptCount val="2"/>
                <c:pt idx="0">
                  <c:v>1160.9958438598148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0-4ECD-98E6-2557DAD399EE}"/>
            </c:ext>
          </c:extLst>
        </c:ser>
        <c:ser>
          <c:idx val="1"/>
          <c:order val="1"/>
          <c:tx>
            <c:strRef>
              <c:f>'Basic Model'!$C$36:$D$36</c:f>
              <c:strCache>
                <c:ptCount val="2"/>
                <c:pt idx="0">
                  <c:v>Value of cow in March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numFmt formatCode="&quot;$&quot;#,##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140-4ECD-98E6-2557DAD399EE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'Basic Model'!$A$38</c:f>
              <c:numCache>
                <c:formatCode>General</c:formatCode>
                <c:ptCount val="1"/>
              </c:numCache>
            </c:numRef>
          </c:cat>
          <c:val>
            <c:numRef>
              <c:f>'Basic Model'!$C$37:$D$37</c:f>
              <c:numCache>
                <c:formatCode>"$"#,##0.00</c:formatCode>
                <c:ptCount val="2"/>
                <c:pt idx="0">
                  <c:v>1330.4355761537443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40-4ECD-98E6-2557DAD399EE}"/>
            </c:ext>
          </c:extLst>
        </c:ser>
        <c:ser>
          <c:idx val="2"/>
          <c:order val="2"/>
          <c:tx>
            <c:strRef>
              <c:f>'Basic Model'!$A$36:$B$36</c:f>
              <c:strCache>
                <c:ptCount val="2"/>
                <c:pt idx="0">
                  <c:v>Value of separately fed Cow in March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'Basic Model'!$A$38</c:f>
              <c:numCache>
                <c:formatCode>General</c:formatCode>
                <c:ptCount val="1"/>
              </c:numCache>
            </c:numRef>
          </c:cat>
          <c:val>
            <c:numRef>
              <c:f>'Basic Model'!$A$37:$B$37</c:f>
              <c:numCache>
                <c:formatCode>"$"#,##0.00</c:formatCode>
                <c:ptCount val="2"/>
                <c:pt idx="0">
                  <c:v>1388.5845397162318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40-4ECD-98E6-2557DAD39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2"/>
        <c:axId val="127737216"/>
        <c:axId val="127759488"/>
      </c:barChart>
      <c:catAx>
        <c:axId val="1277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759488"/>
        <c:crosses val="autoZero"/>
        <c:auto val="1"/>
        <c:lblAlgn val="ctr"/>
        <c:lblOffset val="100"/>
        <c:noMultiLvlLbl val="0"/>
      </c:catAx>
      <c:valAx>
        <c:axId val="127759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$/head</a:t>
                </a:r>
              </a:p>
            </c:rich>
          </c:tx>
          <c:overlay val="0"/>
        </c:title>
        <c:numFmt formatCode="&quot;$&quot;#,##0" sourceLinked="0"/>
        <c:majorTickMark val="none"/>
        <c:minorTickMark val="none"/>
        <c:tickLblPos val="nextTo"/>
        <c:crossAx val="127737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Loss</a:t>
            </a:r>
            <a:r>
              <a:rPr lang="en-US" sz="1200" baseline="0"/>
              <a:t>/</a:t>
            </a:r>
            <a:r>
              <a:rPr lang="en-US" sz="1200"/>
              <a:t>Gain</a:t>
            </a:r>
            <a:r>
              <a:rPr lang="en-US" sz="1200" baseline="0"/>
              <a:t> per Head </a:t>
            </a:r>
          </a:p>
          <a:p>
            <a:pPr>
              <a:defRPr/>
            </a:pPr>
            <a:r>
              <a:rPr lang="en-US" sz="1200" baseline="0"/>
              <a:t>Compared to No Preg-check and Culling in Spring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'Basic Model - update %'!$C$40</c:f>
              <c:strCache>
                <c:ptCount val="1"/>
                <c:pt idx="0">
                  <c:v>Preg-check in the fall and cull immediately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'Basic Model - update %'!$C$41</c:f>
              <c:numCache>
                <c:formatCode>"$"#,##0.00</c:formatCode>
                <c:ptCount val="1"/>
                <c:pt idx="0">
                  <c:v>-10.560137675304908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A-4571-8404-5F9810CA7AF6}"/>
            </c:ext>
          </c:extLst>
        </c:ser>
        <c:ser>
          <c:idx val="1"/>
          <c:order val="1"/>
          <c:tx>
            <c:strRef>
              <c:f>'Basic Model - update %'!$E$40</c:f>
              <c:strCache>
                <c:ptCount val="1"/>
                <c:pt idx="0">
                  <c:v>Preg-check in the fall and feed cull cows separate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'Basic Model - update %'!$E$41</c:f>
              <c:numCache>
                <c:formatCode>"$"#,##0.00</c:formatCode>
                <c:ptCount val="1"/>
                <c:pt idx="0">
                  <c:v>8.6568015519598163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A-4571-8404-5F9810CA7AF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34"/>
        <c:overlap val="-59"/>
        <c:axId val="124066432"/>
        <c:axId val="124068224"/>
      </c:barChart>
      <c:catAx>
        <c:axId val="124066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24068224"/>
        <c:crosses val="autoZero"/>
        <c:auto val="1"/>
        <c:lblAlgn val="ctr"/>
        <c:lblOffset val="100"/>
        <c:noMultiLvlLbl val="0"/>
      </c:catAx>
      <c:valAx>
        <c:axId val="124068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$/head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12406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Loss/Gain</a:t>
            </a:r>
            <a:r>
              <a:rPr lang="en-US" sz="1200" baseline="0"/>
              <a:t> for Herd </a:t>
            </a:r>
          </a:p>
          <a:p>
            <a:pPr>
              <a:defRPr/>
            </a:pPr>
            <a:r>
              <a:rPr lang="en-US" sz="1200" baseline="0"/>
              <a:t>Compared to No Preg-check and Culling in Spring</a:t>
            </a:r>
            <a:endParaRPr lang="en-US" sz="1200"/>
          </a:p>
        </c:rich>
      </c:tx>
      <c:layout>
        <c:manualLayout>
          <c:xMode val="edge"/>
          <c:yMode val="edge"/>
          <c:x val="0.15696522309711286"/>
          <c:y val="3.229528278171004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'Basic Model - update %'!$C$40</c:f>
              <c:strCache>
                <c:ptCount val="1"/>
                <c:pt idx="0">
                  <c:v>Preg-check in the fall and cull immediately</c:v>
                </c:pt>
              </c:strCache>
            </c:strRef>
          </c:tx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'Basic Model - update %'!$C$42</c:f>
              <c:numCache>
                <c:formatCode>"$"#,##0.00</c:formatCode>
                <c:ptCount val="1"/>
                <c:pt idx="0">
                  <c:v>-1056.0137675304909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7-4726-8361-55B003CC1141}"/>
            </c:ext>
          </c:extLst>
        </c:ser>
        <c:ser>
          <c:idx val="1"/>
          <c:order val="1"/>
          <c:tx>
            <c:strRef>
              <c:f>'Basic Model - update %'!$E$40</c:f>
              <c:strCache>
                <c:ptCount val="1"/>
                <c:pt idx="0">
                  <c:v>Preg-check in the fall and feed cull cows separate</c:v>
                </c:pt>
              </c:strCache>
            </c:strRef>
          </c:tx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'Basic Model - update %'!$E$42</c:f>
              <c:numCache>
                <c:formatCode>"$"#,##0.00</c:formatCode>
                <c:ptCount val="1"/>
                <c:pt idx="0">
                  <c:v>865.68015519598157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7-4726-8361-55B003CC114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42"/>
        <c:overlap val="-59"/>
        <c:axId val="124111104"/>
        <c:axId val="124116992"/>
      </c:barChart>
      <c:catAx>
        <c:axId val="124111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4116992"/>
        <c:crosses val="autoZero"/>
        <c:auto val="1"/>
        <c:lblAlgn val="ctr"/>
        <c:lblOffset val="100"/>
        <c:noMultiLvlLbl val="0"/>
      </c:catAx>
      <c:valAx>
        <c:axId val="124116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$/herd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124111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Value of Cow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'Basic Model - update %'!$A$33:$B$33</c:f>
              <c:strCache>
                <c:ptCount val="2"/>
                <c:pt idx="0">
                  <c:v>Value of cow in October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'Basic Model - update %'!$A$38</c:f>
              <c:numCache>
                <c:formatCode>General</c:formatCode>
                <c:ptCount val="1"/>
              </c:numCache>
            </c:numRef>
          </c:cat>
          <c:val>
            <c:numRef>
              <c:f>'Basic Model - update %'!$A$34:$B$34</c:f>
              <c:numCache>
                <c:formatCode>"$"#,##0.00</c:formatCode>
                <c:ptCount val="2"/>
                <c:pt idx="0">
                  <c:v>1350.8715906278082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2-4FD6-9C51-62154F569102}"/>
            </c:ext>
          </c:extLst>
        </c:ser>
        <c:ser>
          <c:idx val="1"/>
          <c:order val="1"/>
          <c:tx>
            <c:strRef>
              <c:f>'Basic Model - update %'!$C$36:$D$36</c:f>
              <c:strCache>
                <c:ptCount val="2"/>
                <c:pt idx="0">
                  <c:v>Value of cow in March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numFmt formatCode="&quot;$&quot;#,##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DF2-4FD6-9C51-62154F569102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'Basic Model - update %'!$A$38</c:f>
              <c:numCache>
                <c:formatCode>General</c:formatCode>
                <c:ptCount val="1"/>
              </c:numCache>
            </c:numRef>
          </c:cat>
          <c:val>
            <c:numRef>
              <c:f>'Basic Model - update %'!$C$37:$D$37</c:f>
              <c:numCache>
                <c:formatCode>"$"#,##0.00</c:formatCode>
                <c:ptCount val="2"/>
                <c:pt idx="0">
                  <c:v>1716.0629890083915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2-4FD6-9C51-62154F569102}"/>
            </c:ext>
          </c:extLst>
        </c:ser>
        <c:ser>
          <c:idx val="2"/>
          <c:order val="2"/>
          <c:tx>
            <c:strRef>
              <c:f>'Basic Model - update %'!$A$36:$B$36</c:f>
              <c:strCache>
                <c:ptCount val="2"/>
                <c:pt idx="0">
                  <c:v>Value of separately fed Cow in March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'Basic Model - update %'!$A$38</c:f>
              <c:numCache>
                <c:formatCode>General</c:formatCode>
                <c:ptCount val="1"/>
              </c:numCache>
            </c:numRef>
          </c:cat>
          <c:val>
            <c:numRef>
              <c:f>'Basic Model - update %'!$A$37:$B$37</c:f>
              <c:numCache>
                <c:formatCode>"$"#,##0.00</c:formatCode>
                <c:ptCount val="2"/>
                <c:pt idx="0">
                  <c:v>1740.4422299429345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2-4FD6-9C51-62154F569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2"/>
        <c:axId val="127737216"/>
        <c:axId val="127759488"/>
      </c:barChart>
      <c:catAx>
        <c:axId val="1277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759488"/>
        <c:crosses val="autoZero"/>
        <c:auto val="1"/>
        <c:lblAlgn val="ctr"/>
        <c:lblOffset val="100"/>
        <c:noMultiLvlLbl val="0"/>
      </c:catAx>
      <c:valAx>
        <c:axId val="127759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$/head</a:t>
                </a:r>
              </a:p>
            </c:rich>
          </c:tx>
          <c:overlay val="0"/>
        </c:title>
        <c:numFmt formatCode="&quot;$&quot;#,##0" sourceLinked="0"/>
        <c:majorTickMark val="none"/>
        <c:minorTickMark val="none"/>
        <c:tickLblPos val="nextTo"/>
        <c:crossAx val="127737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371507</xdr:colOff>
      <xdr:row>91</xdr:row>
      <xdr:rowOff>124394</xdr:rowOff>
    </xdr:from>
    <xdr:to>
      <xdr:col>4</xdr:col>
      <xdr:colOff>521186</xdr:colOff>
      <xdr:row>106</xdr:row>
      <xdr:rowOff>65472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0B896F-64C2-4A6C-8C8E-1845AC490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643016</xdr:colOff>
      <xdr:row>91</xdr:row>
      <xdr:rowOff>125945</xdr:rowOff>
    </xdr:from>
    <xdr:to>
      <xdr:col>6</xdr:col>
      <xdr:colOff>1836963</xdr:colOff>
      <xdr:row>106</xdr:row>
      <xdr:rowOff>67023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F13A27-E769-4590-B757-6D68A2A4B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89238</xdr:colOff>
      <xdr:row>91</xdr:row>
      <xdr:rowOff>121483</xdr:rowOff>
    </xdr:from>
    <xdr:to>
      <xdr:col>2</xdr:col>
      <xdr:colOff>142401</xdr:colOff>
      <xdr:row>106</xdr:row>
      <xdr:rowOff>62561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EC1F6A-493D-4A74-B903-4ACBAE22C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371507</xdr:colOff>
      <xdr:row>91</xdr:row>
      <xdr:rowOff>124394</xdr:rowOff>
    </xdr:from>
    <xdr:to>
      <xdr:col>4</xdr:col>
      <xdr:colOff>521186</xdr:colOff>
      <xdr:row>106</xdr:row>
      <xdr:rowOff>65472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643016</xdr:colOff>
      <xdr:row>91</xdr:row>
      <xdr:rowOff>125945</xdr:rowOff>
    </xdr:from>
    <xdr:to>
      <xdr:col>6</xdr:col>
      <xdr:colOff>1820634</xdr:colOff>
      <xdr:row>106</xdr:row>
      <xdr:rowOff>12594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89238</xdr:colOff>
      <xdr:row>91</xdr:row>
      <xdr:rowOff>121483</xdr:rowOff>
    </xdr:from>
    <xdr:to>
      <xdr:col>2</xdr:col>
      <xdr:colOff>142401</xdr:colOff>
      <xdr:row>106</xdr:row>
      <xdr:rowOff>62561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371507</xdr:colOff>
      <xdr:row>91</xdr:row>
      <xdr:rowOff>124394</xdr:rowOff>
    </xdr:from>
    <xdr:to>
      <xdr:col>4</xdr:col>
      <xdr:colOff>521186</xdr:colOff>
      <xdr:row>106</xdr:row>
      <xdr:rowOff>65472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C159B3-F29A-4CBA-BDB3-BD0EDCFDB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643016</xdr:colOff>
      <xdr:row>91</xdr:row>
      <xdr:rowOff>125945</xdr:rowOff>
    </xdr:from>
    <xdr:to>
      <xdr:col>6</xdr:col>
      <xdr:colOff>1836963</xdr:colOff>
      <xdr:row>106</xdr:row>
      <xdr:rowOff>67023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9EC337-CBA6-460E-9340-CFF01FF8D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89238</xdr:colOff>
      <xdr:row>91</xdr:row>
      <xdr:rowOff>121483</xdr:rowOff>
    </xdr:from>
    <xdr:to>
      <xdr:col>2</xdr:col>
      <xdr:colOff>142401</xdr:colOff>
      <xdr:row>106</xdr:row>
      <xdr:rowOff>62561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04AB7A-D3B9-4501-B7B1-D56E74581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F5FED-030F-40C5-B18C-397134B4B5F7}">
  <dimension ref="A1:I109"/>
  <sheetViews>
    <sheetView tabSelected="1" topLeftCell="A30" zoomScale="70" zoomScaleNormal="70" workbookViewId="0">
      <selection activeCell="M98" sqref="M98"/>
    </sheetView>
  </sheetViews>
  <sheetFormatPr defaultColWidth="8.85546875" defaultRowHeight="15" x14ac:dyDescent="0.25"/>
  <cols>
    <col min="1" max="1" width="34.42578125" customWidth="1"/>
    <col min="2" max="2" width="33.42578125" customWidth="1"/>
    <col min="3" max="3" width="33" customWidth="1"/>
    <col min="4" max="4" width="33.28515625" bestFit="1" customWidth="1"/>
    <col min="5" max="5" width="35.42578125" customWidth="1"/>
    <col min="6" max="6" width="15.28515625" customWidth="1"/>
    <col min="7" max="7" width="28.140625" customWidth="1"/>
    <col min="9" max="9" width="10.85546875" bestFit="1" customWidth="1"/>
  </cols>
  <sheetData>
    <row r="1" spans="1:9" s="1" customFormat="1" ht="20.100000000000001" customHeight="1" x14ac:dyDescent="0.25">
      <c r="A1" s="95" t="s">
        <v>0</v>
      </c>
      <c r="B1" s="96"/>
      <c r="C1" s="96"/>
      <c r="D1" s="96"/>
      <c r="E1" s="96"/>
      <c r="F1" s="96"/>
      <c r="G1" s="97"/>
    </row>
    <row r="2" spans="1:9" s="1" customFormat="1" ht="20.100000000000001" customHeight="1" x14ac:dyDescent="0.25">
      <c r="A2" s="98" t="s">
        <v>1</v>
      </c>
      <c r="B2" s="99"/>
      <c r="C2" s="99"/>
      <c r="D2" s="99"/>
      <c r="E2" s="99"/>
      <c r="F2" s="99"/>
      <c r="G2" s="100"/>
    </row>
    <row r="3" spans="1:9" s="3" customFormat="1" ht="16.5" thickBot="1" x14ac:dyDescent="0.3">
      <c r="A3" s="101" t="s">
        <v>2</v>
      </c>
      <c r="B3" s="102"/>
      <c r="C3" s="2"/>
      <c r="D3" s="103" t="s">
        <v>3</v>
      </c>
      <c r="E3" s="103"/>
      <c r="F3" s="103"/>
      <c r="G3" s="103"/>
    </row>
    <row r="4" spans="1:9" s="1" customFormat="1" ht="15.75" thickTop="1" x14ac:dyDescent="0.25">
      <c r="A4" s="87" t="s">
        <v>4</v>
      </c>
      <c r="B4" s="88"/>
      <c r="C4" s="86">
        <v>100</v>
      </c>
      <c r="D4" s="92" t="s">
        <v>5</v>
      </c>
      <c r="E4" s="93"/>
      <c r="F4" s="93"/>
      <c r="G4" s="93"/>
    </row>
    <row r="5" spans="1:9" s="1" customFormat="1" x14ac:dyDescent="0.25">
      <c r="A5" s="87" t="s">
        <v>6</v>
      </c>
      <c r="B5" s="88"/>
      <c r="C5" s="62" t="s">
        <v>101</v>
      </c>
      <c r="D5" s="92" t="s">
        <v>92</v>
      </c>
      <c r="E5" s="93"/>
      <c r="F5" s="93"/>
      <c r="G5" s="93"/>
    </row>
    <row r="6" spans="1:9" s="1" customFormat="1" x14ac:dyDescent="0.25">
      <c r="A6" s="87" t="s">
        <v>7</v>
      </c>
      <c r="B6" s="88"/>
      <c r="C6" s="62" t="s">
        <v>97</v>
      </c>
      <c r="D6" s="92" t="s">
        <v>9</v>
      </c>
      <c r="E6" s="93"/>
      <c r="F6" s="93"/>
      <c r="G6" s="93"/>
      <c r="I6"/>
    </row>
    <row r="7" spans="1:9" s="1" customFormat="1" x14ac:dyDescent="0.25">
      <c r="A7" s="87" t="s">
        <v>10</v>
      </c>
      <c r="B7" s="88"/>
      <c r="C7" s="63" t="s">
        <v>8</v>
      </c>
      <c r="D7" s="92" t="s">
        <v>11</v>
      </c>
      <c r="E7" s="93"/>
      <c r="F7" s="93"/>
      <c r="G7" s="93"/>
      <c r="I7"/>
    </row>
    <row r="8" spans="1:9" s="1" customFormat="1" x14ac:dyDescent="0.25">
      <c r="A8" s="87" t="s">
        <v>12</v>
      </c>
      <c r="B8" s="88"/>
      <c r="C8" s="64">
        <v>0.9</v>
      </c>
      <c r="D8" s="92" t="s">
        <v>13</v>
      </c>
      <c r="E8" s="93"/>
      <c r="F8" s="93"/>
      <c r="G8" s="93"/>
      <c r="I8"/>
    </row>
    <row r="9" spans="1:9" s="1" customFormat="1" ht="15.75" thickBot="1" x14ac:dyDescent="0.3">
      <c r="A9" s="87" t="s">
        <v>14</v>
      </c>
      <c r="B9" s="88"/>
      <c r="C9" s="65" t="s">
        <v>98</v>
      </c>
      <c r="D9" s="92" t="s">
        <v>9</v>
      </c>
      <c r="E9" s="93"/>
      <c r="F9" s="93"/>
      <c r="G9" s="93"/>
      <c r="I9"/>
    </row>
    <row r="10" spans="1:9" s="1" customFormat="1" ht="15.75" thickTop="1" x14ac:dyDescent="0.25">
      <c r="A10" s="87"/>
      <c r="B10" s="88"/>
      <c r="C10" s="89"/>
      <c r="D10" s="90"/>
      <c r="E10" s="90"/>
      <c r="F10" s="90"/>
      <c r="G10" s="91"/>
      <c r="I10"/>
    </row>
    <row r="11" spans="1:9" s="1" customFormat="1" ht="20.100000000000001" hidden="1" customHeight="1" x14ac:dyDescent="0.25">
      <c r="A11" s="104" t="s">
        <v>15</v>
      </c>
      <c r="B11" s="105"/>
      <c r="C11" s="105"/>
      <c r="D11" s="105"/>
      <c r="E11" s="105"/>
      <c r="F11" s="105"/>
      <c r="G11" s="106"/>
      <c r="I11"/>
    </row>
    <row r="12" spans="1:9" s="3" customFormat="1" ht="15.75" hidden="1" x14ac:dyDescent="0.25">
      <c r="A12" s="107" t="s">
        <v>2</v>
      </c>
      <c r="B12" s="108"/>
      <c r="C12" s="6"/>
      <c r="D12" s="109" t="s">
        <v>3</v>
      </c>
      <c r="E12" s="109"/>
      <c r="F12" s="109"/>
      <c r="G12" s="109"/>
      <c r="I12"/>
    </row>
    <row r="13" spans="1:9" s="1" customFormat="1" hidden="1" x14ac:dyDescent="0.25">
      <c r="A13" s="87" t="s">
        <v>16</v>
      </c>
      <c r="B13" s="94"/>
      <c r="C13" s="56">
        <f>IF(C5="A",B48,IF(C5="B",B49,IF(C5="C",B50,IF(C5="D",B51))))</f>
        <v>1.78</v>
      </c>
      <c r="D13" s="92" t="s">
        <v>17</v>
      </c>
      <c r="E13" s="93"/>
      <c r="F13" s="93"/>
      <c r="G13" s="93"/>
      <c r="I13"/>
    </row>
    <row r="14" spans="1:9" s="1" customFormat="1" hidden="1" x14ac:dyDescent="0.25">
      <c r="A14" s="87" t="s">
        <v>18</v>
      </c>
      <c r="B14" s="94"/>
      <c r="C14" s="4">
        <v>160</v>
      </c>
      <c r="D14" s="92" t="s">
        <v>19</v>
      </c>
      <c r="E14" s="93"/>
      <c r="F14" s="93"/>
      <c r="G14" s="93"/>
      <c r="I14"/>
    </row>
    <row r="15" spans="1:9" s="1" customFormat="1" hidden="1" x14ac:dyDescent="0.25">
      <c r="A15" s="87" t="s">
        <v>20</v>
      </c>
      <c r="B15" s="94"/>
      <c r="C15" s="56">
        <f>IF(C5="A",D48,IF(C5="B",D49,IF(C5="C",D50,IF(C5="D",D51))))</f>
        <v>1.17</v>
      </c>
      <c r="D15" s="92" t="s">
        <v>21</v>
      </c>
      <c r="E15" s="93"/>
      <c r="F15" s="93"/>
      <c r="G15" s="93"/>
      <c r="I15"/>
    </row>
    <row r="16" spans="1:9" s="1" customFormat="1" hidden="1" x14ac:dyDescent="0.25">
      <c r="A16" s="87" t="s">
        <v>22</v>
      </c>
      <c r="B16" s="94"/>
      <c r="C16" s="7">
        <v>4.37</v>
      </c>
      <c r="D16" s="92" t="s">
        <v>23</v>
      </c>
      <c r="E16" s="93"/>
      <c r="F16" s="93"/>
      <c r="G16" s="93"/>
      <c r="I16"/>
    </row>
    <row r="17" spans="1:9" s="1" customFormat="1" ht="15.75" hidden="1" thickBot="1" x14ac:dyDescent="0.3">
      <c r="A17" s="87" t="s">
        <v>24</v>
      </c>
      <c r="B17" s="94"/>
      <c r="C17" s="8">
        <v>7.6999999999999999E-2</v>
      </c>
      <c r="D17" s="92" t="s">
        <v>25</v>
      </c>
      <c r="E17" s="93"/>
      <c r="F17" s="93"/>
      <c r="G17" s="93"/>
      <c r="I17"/>
    </row>
    <row r="18" spans="1:9" s="1" customFormat="1" ht="15.75" x14ac:dyDescent="0.25">
      <c r="A18" s="87"/>
      <c r="B18" s="88"/>
      <c r="C18" s="89"/>
      <c r="D18" s="90"/>
      <c r="E18" s="90"/>
      <c r="F18" s="90"/>
      <c r="G18" s="91"/>
      <c r="H18" s="9"/>
      <c r="I18"/>
    </row>
    <row r="19" spans="1:9" s="1" customFormat="1" ht="20.100000000000001" customHeight="1" x14ac:dyDescent="0.25">
      <c r="A19" s="104" t="s">
        <v>87</v>
      </c>
      <c r="B19" s="105"/>
      <c r="C19" s="105"/>
      <c r="D19" s="105"/>
      <c r="E19" s="105"/>
      <c r="F19" s="105"/>
      <c r="G19" s="106"/>
      <c r="H19" s="10"/>
      <c r="I19"/>
    </row>
    <row r="20" spans="1:9" s="12" customFormat="1" ht="15.75" x14ac:dyDescent="0.25">
      <c r="A20" s="107" t="s">
        <v>2</v>
      </c>
      <c r="B20" s="108"/>
      <c r="C20" s="6"/>
      <c r="D20" s="109" t="s">
        <v>3</v>
      </c>
      <c r="E20" s="109"/>
      <c r="F20" s="109"/>
      <c r="G20" s="109"/>
      <c r="H20" s="11"/>
    </row>
    <row r="21" spans="1:9" s="1" customFormat="1" x14ac:dyDescent="0.25">
      <c r="A21" s="87" t="s">
        <v>26</v>
      </c>
      <c r="B21" s="88"/>
      <c r="C21" s="58">
        <f>ROUND(C4*C71,0)</f>
        <v>8</v>
      </c>
      <c r="D21" s="92" t="s">
        <v>27</v>
      </c>
      <c r="E21" s="93"/>
      <c r="F21" s="93"/>
      <c r="G21" s="93"/>
      <c r="H21" s="10"/>
    </row>
    <row r="22" spans="1:9" s="1" customFormat="1" x14ac:dyDescent="0.25">
      <c r="A22" s="78"/>
      <c r="B22" s="79" t="s">
        <v>28</v>
      </c>
      <c r="C22" s="59" t="str">
        <f>IF(AND(E90&gt;=366,E90&lt;=396),"January",IF(AND(E90&gt;=397,E90&lt;=424),"February",IF(AND(E90&gt;=425,E90&lt;=455),"March",IF(AND(E90&gt;=456,E90&lt;=485),"April",IF(AND(E90&gt;=486,E90&lt;=516),"May",IF(AND(E90&gt;=517,E90&lt;=546),"June",IF(AND(E90&gt;=547,E90&lt;=577),"July",IF(AND(E90&gt;=578,E90&lt;=608),"August",IF(AND(E90&gt;=244,E90&lt;=273),"September",IF(AND(E90&gt;=274,E90&lt;=304),"October",IF(AND(E90&gt;=305,E90&lt;=344),"November",IF(AND(E90&gt;=335,E90&lt;=365),"December"))))))))))))</f>
        <v>March</v>
      </c>
      <c r="D22" s="110" t="s">
        <v>29</v>
      </c>
      <c r="E22" s="111"/>
      <c r="F22" s="111"/>
      <c r="G22" s="92"/>
      <c r="H22" s="10"/>
    </row>
    <row r="23" spans="1:9" s="1" customFormat="1" ht="15.75" thickBot="1" x14ac:dyDescent="0.3">
      <c r="A23" s="78"/>
      <c r="B23" s="79" t="s">
        <v>30</v>
      </c>
      <c r="C23" s="60">
        <f>IF(AND(C22="February",C9="A"),C61,IF(AND(C22="February",C9="B"),D61,IF(AND(C22="February",C9="C"),E61,IF(AND(C22="March",C9="A"),C62,IF(AND(C22="March",C9="B"),D62,IF(AND(C22="March",C9="C"),E62,IF(AND(C22="April",C9="A"),C63,IF(AND(C22="April",C9="B"),D63,IF(AND(C22="April",C9="C"),E63,IF(AND(C22="May",C9="A"),C64,IF(AND(C22="May",C9="B"),D64,IF(AND(C22="May",C9="C"),E64,IF(AND(C22="June",C9="A"),C65,IF(AND(C22="June",C9="B"),D65,IF(AND(C22="June",C9="C"),E65, IF(AND(C22="July",C9="A"), C66, IF(AND(C22="July", C9="B"), D66, IF(AND(C22="July",C9="C"), E66, IF(AND(C22="August",C9="A"),C67,IF(AND(C22="August",C9="B"),D67,IF(AND(C22="August",C9="C"),E67, IF(AND(C22="September",C9="A"),C56,IF(AND(C22="September",C9="B"),D56,IF(AND(C22="September",C9="C"),E56, IF(AND(C22="October",C9="A"),C57,IF(AND(C22="October",C9="B"),D57,IF(AND(C22="October",C9="C"),E57, IF(AND(C22="November",C9="A"),C58,IF(AND(C22="November",C9="B"),D58,IF(AND(C22="November",C9="C"),E58, IF(AND(C22="December",C9="A"),C59,IF(AND(C22="December",C9="B"),D59,IF(AND(C22="December",C9="C"),E59, IF(AND(C22="January",C9="A"),C60,IF(AND(C22="January",C9="B"),D60,IF(AND(C22="January",C9="C"),E60))))))))))))))))))))))))))))))))))))</f>
        <v>1.1412900000000001</v>
      </c>
      <c r="D23" s="110" t="s">
        <v>31</v>
      </c>
      <c r="E23" s="111"/>
      <c r="F23" s="111"/>
      <c r="G23" s="92"/>
      <c r="H23" s="10"/>
    </row>
    <row r="24" spans="1:9" s="1" customFormat="1" ht="15.75" thickTop="1" x14ac:dyDescent="0.25">
      <c r="A24" s="87" t="s">
        <v>32</v>
      </c>
      <c r="B24" s="94"/>
      <c r="C24" s="66">
        <v>1.9</v>
      </c>
      <c r="D24" s="112" t="s">
        <v>96</v>
      </c>
      <c r="E24" s="113"/>
      <c r="F24" s="113"/>
      <c r="G24" s="113"/>
      <c r="H24" s="10"/>
    </row>
    <row r="25" spans="1:9" s="1" customFormat="1" ht="20.100000000000001" customHeight="1" x14ac:dyDescent="0.25">
      <c r="A25" s="87" t="s">
        <v>33</v>
      </c>
      <c r="B25" s="94"/>
      <c r="C25" s="67">
        <v>140</v>
      </c>
      <c r="D25" s="92" t="s">
        <v>34</v>
      </c>
      <c r="E25" s="93"/>
      <c r="F25" s="93"/>
      <c r="G25" s="93"/>
      <c r="H25" s="10"/>
    </row>
    <row r="26" spans="1:9" s="12" customFormat="1" ht="16.5" thickBot="1" x14ac:dyDescent="0.3">
      <c r="A26" s="87" t="s">
        <v>20</v>
      </c>
      <c r="B26" s="88"/>
      <c r="C26" s="68">
        <v>1.8</v>
      </c>
      <c r="D26" s="92" t="s">
        <v>35</v>
      </c>
      <c r="E26" s="93"/>
      <c r="F26" s="93"/>
      <c r="G26" s="93"/>
      <c r="H26" s="11"/>
    </row>
    <row r="27" spans="1:9" s="1" customFormat="1" ht="16.5" thickTop="1" thickBot="1" x14ac:dyDescent="0.3">
      <c r="A27" s="123"/>
      <c r="B27" s="124"/>
      <c r="C27" s="125"/>
      <c r="D27" s="124"/>
      <c r="E27" s="124"/>
      <c r="F27" s="124"/>
      <c r="G27" s="126"/>
      <c r="H27" s="10"/>
    </row>
    <row r="28" spans="1:9" s="1" customFormat="1" ht="18.75" x14ac:dyDescent="0.25">
      <c r="A28" s="127" t="s">
        <v>88</v>
      </c>
      <c r="B28" s="128"/>
      <c r="C28" s="128"/>
      <c r="D28" s="128"/>
      <c r="E28" s="128"/>
      <c r="F28" s="128"/>
      <c r="G28" s="129"/>
    </row>
    <row r="29" spans="1:9" s="1" customFormat="1" ht="40.5" customHeight="1" x14ac:dyDescent="0.25">
      <c r="A29" s="73" t="s">
        <v>36</v>
      </c>
      <c r="B29" s="73" t="s">
        <v>37</v>
      </c>
      <c r="C29" s="73" t="s">
        <v>38</v>
      </c>
      <c r="D29" s="130" t="s">
        <v>39</v>
      </c>
      <c r="E29" s="130"/>
      <c r="F29" s="130"/>
      <c r="G29" s="130"/>
    </row>
    <row r="30" spans="1:9" s="16" customFormat="1" x14ac:dyDescent="0.25">
      <c r="A30" s="22">
        <f>IF(C5="A",B48,IF(C5="B",B49,IF(C5="C",B50,IF(C5="D",B51, IF(C5="E", C13)))))</f>
        <v>1.78</v>
      </c>
      <c r="B30" s="14">
        <f>IF(C5="A",C48,IF(C5="B",C48,IF(C5="C",C48,IF(C5="D",C48, IF(C5="E", C14)))))</f>
        <v>160</v>
      </c>
      <c r="C30" s="15">
        <f>IF(C5="A",D48,IF(C5="B",D49,IF(C5="C",D50,IF(C5="D",D51, IF(C5="E", C15)))))</f>
        <v>1.17</v>
      </c>
      <c r="D30" s="131">
        <f>C30*B30</f>
        <v>187.2</v>
      </c>
      <c r="E30" s="131"/>
      <c r="F30" s="131"/>
      <c r="G30" s="131"/>
    </row>
    <row r="31" spans="1:9" s="16" customFormat="1" x14ac:dyDescent="0.25">
      <c r="A31" s="114"/>
      <c r="B31" s="115"/>
      <c r="C31" s="115"/>
      <c r="D31" s="115"/>
      <c r="E31" s="115"/>
      <c r="F31" s="115"/>
      <c r="G31" s="116"/>
    </row>
    <row r="32" spans="1:9" s="16" customFormat="1" ht="18.75" x14ac:dyDescent="0.25">
      <c r="A32" s="117" t="s">
        <v>89</v>
      </c>
      <c r="B32" s="118"/>
      <c r="C32" s="118"/>
      <c r="D32" s="118"/>
      <c r="E32" s="118"/>
      <c r="F32" s="118"/>
      <c r="G32" s="119"/>
    </row>
    <row r="33" spans="1:9" s="16" customFormat="1" ht="15.75" x14ac:dyDescent="0.25">
      <c r="A33" s="120" t="str">
        <f>IF(C6="A","Value of cow in September",IF(C6="B","Value of cow in October",IF(C6="C","Value of cow in November")))</f>
        <v>Value of cow in October</v>
      </c>
      <c r="B33" s="120"/>
      <c r="C33" s="121" t="str">
        <f>IF(C7="A","Value of cow in February",IF(C7="B","Value of cow in March",IF(C7="C","Value of Cow in April",IF(C7="D","Value of cow in May."))))</f>
        <v>Value of cow in March</v>
      </c>
      <c r="D33" s="121"/>
      <c r="E33" s="120" t="s">
        <v>40</v>
      </c>
      <c r="F33" s="120"/>
      <c r="G33" s="120"/>
      <c r="H33" s="17"/>
      <c r="I33" s="17"/>
    </row>
    <row r="34" spans="1:9" s="1" customFormat="1" ht="15.75" thickBot="1" x14ac:dyDescent="0.3">
      <c r="A34" s="122">
        <f>IF(C6="A",G56,IF(C6="B",G57,IF(C6="C",G58)))</f>
        <v>1235.1359094784855</v>
      </c>
      <c r="B34" s="122"/>
      <c r="C34" s="122">
        <f>IF(C7="A",G61,IF(C7="B",G62,IF(C7="C",G63,IF(C7="D",G64))))</f>
        <v>1695.0439080000003</v>
      </c>
      <c r="D34" s="122"/>
      <c r="E34" s="122">
        <f>C34-A34</f>
        <v>459.90799852151486</v>
      </c>
      <c r="F34" s="122"/>
      <c r="G34" s="122"/>
      <c r="H34" s="10"/>
      <c r="I34" s="10"/>
    </row>
    <row r="35" spans="1:9" s="1" customFormat="1" ht="18.75" x14ac:dyDescent="0.25">
      <c r="A35" s="140" t="s">
        <v>90</v>
      </c>
      <c r="B35" s="141"/>
      <c r="C35" s="141"/>
      <c r="D35" s="141"/>
      <c r="E35" s="141"/>
      <c r="F35" s="141"/>
      <c r="G35" s="142"/>
    </row>
    <row r="36" spans="1:9" s="1" customFormat="1" ht="20.100000000000001" customHeight="1" x14ac:dyDescent="0.25">
      <c r="A36" s="121" t="str">
        <f>IF(C22="January","Value of separately fed cow in January",IF(C22="February","Value of separately fed cow in February",IF(C22="March","Value of separately fed Cow in March",IF(C22="April","Value of cow in April",IF(C22="May","Value of separately fed cow in May",IF(C22="June","Value of separately fed cow in June",IF(C22="July","Value of separately fed cow in July",IF(C22="August","Value of separately fed cow in August",IF(C22="September","Value of separately fed cow in September",IF(C22="October","Value of separately fed cow in October",IF(C22="November","Value of separately fed cow in November",IF(C22="December","Value of separately fed cow in December"))))))))))))</f>
        <v>Value of separately fed Cow in March</v>
      </c>
      <c r="B36" s="121"/>
      <c r="C36" s="121" t="str">
        <f>IF(C7="A","Value of cow in February",IF(C7="B","Value of cow in March",IF(C7="C","Value of Cow in April",IF(C7="D","Value of cow in May."))))</f>
        <v>Value of cow in March</v>
      </c>
      <c r="D36" s="121"/>
      <c r="E36" s="120" t="s">
        <v>40</v>
      </c>
      <c r="F36" s="120"/>
      <c r="G36" s="120"/>
    </row>
    <row r="37" spans="1:9" s="1" customFormat="1" ht="20.100000000000001" customHeight="1" x14ac:dyDescent="0.25">
      <c r="A37" s="143">
        <f>C23*A90</f>
        <v>1769.1287026415098</v>
      </c>
      <c r="B37" s="143"/>
      <c r="C37" s="143">
        <f>IF(C7="A",G61,IF(C7="B",G62,IF(C7="C",G63,IF(C7="D",G64))))</f>
        <v>1695.0439080000003</v>
      </c>
      <c r="D37" s="143"/>
      <c r="E37" s="143">
        <f>A37-C37</f>
        <v>74.084794641509461</v>
      </c>
      <c r="F37" s="143"/>
      <c r="G37" s="143"/>
    </row>
    <row r="38" spans="1:9" s="1" customFormat="1" ht="20.100000000000001" customHeight="1" x14ac:dyDescent="0.25">
      <c r="A38" s="18"/>
      <c r="B38" s="18"/>
      <c r="C38" s="18"/>
      <c r="D38" s="18"/>
      <c r="E38" s="18"/>
      <c r="F38" s="18"/>
      <c r="G38" s="18"/>
    </row>
    <row r="39" spans="1:9" s="1" customFormat="1" ht="20.100000000000001" customHeight="1" thickBot="1" x14ac:dyDescent="0.3">
      <c r="A39" s="132" t="s">
        <v>41</v>
      </c>
      <c r="B39" s="96"/>
      <c r="C39" s="96"/>
      <c r="D39" s="96"/>
      <c r="E39" s="96"/>
      <c r="F39" s="96"/>
      <c r="G39" s="97"/>
    </row>
    <row r="40" spans="1:9" s="1" customFormat="1" ht="20.100000000000001" customHeight="1" x14ac:dyDescent="0.25">
      <c r="A40" s="133" t="s">
        <v>93</v>
      </c>
      <c r="B40" s="134"/>
      <c r="C40" s="135" t="s">
        <v>94</v>
      </c>
      <c r="D40" s="136"/>
      <c r="E40" s="137" t="s">
        <v>95</v>
      </c>
      <c r="F40" s="137"/>
      <c r="G40" s="138"/>
    </row>
    <row r="41" spans="1:9" s="1" customFormat="1" ht="20.100000000000001" customHeight="1" x14ac:dyDescent="0.25">
      <c r="A41" s="19">
        <v>0</v>
      </c>
      <c r="B41" s="77" t="s">
        <v>42</v>
      </c>
      <c r="C41" s="19">
        <f>(((A30*B30)-(E34))*C71)-A71</f>
        <v>-17.853315886156643</v>
      </c>
      <c r="D41" s="77" t="s">
        <v>42</v>
      </c>
      <c r="E41" s="19">
        <f>IF(ISBLANK(C24),"N/A",(((A30*B30)+(E37)-(C25*C24))*C71)-A71)</f>
        <v>2.7821291873962295</v>
      </c>
      <c r="F41" s="139" t="s">
        <v>42</v>
      </c>
      <c r="G41" s="139"/>
    </row>
    <row r="42" spans="1:9" s="20" customFormat="1" ht="18.75" x14ac:dyDescent="0.25">
      <c r="A42" s="19">
        <f>A41*C4</f>
        <v>0</v>
      </c>
      <c r="B42" s="77" t="s">
        <v>43</v>
      </c>
      <c r="C42" s="19">
        <f>C41*C4</f>
        <v>-1785.3315886156643</v>
      </c>
      <c r="D42" s="77" t="s">
        <v>43</v>
      </c>
      <c r="E42" s="19">
        <f>IF(ISBLANK(C24), "N/A",E41*C4)</f>
        <v>278.21291873962298</v>
      </c>
      <c r="F42" s="139" t="s">
        <v>43</v>
      </c>
      <c r="G42" s="139"/>
    </row>
    <row r="43" spans="1:9" s="1" customFormat="1" x14ac:dyDescent="0.25">
      <c r="A43" s="158"/>
      <c r="B43" s="158"/>
      <c r="C43" s="158"/>
      <c r="D43" s="158"/>
      <c r="E43" s="158"/>
      <c r="F43" s="158"/>
      <c r="G43" s="158"/>
    </row>
    <row r="44" spans="1:9" s="1" customFormat="1" x14ac:dyDescent="0.25">
      <c r="A44" s="158"/>
      <c r="B44" s="158"/>
      <c r="C44" s="158"/>
      <c r="D44" s="158"/>
      <c r="E44" s="158"/>
      <c r="F44" s="158"/>
      <c r="G44" s="158"/>
    </row>
    <row r="45" spans="1:9" s="1" customFormat="1" ht="18.75" hidden="1" x14ac:dyDescent="0.25">
      <c r="A45" s="159" t="s">
        <v>44</v>
      </c>
      <c r="B45" s="160"/>
      <c r="C45" s="160"/>
      <c r="D45" s="160"/>
      <c r="E45" s="160"/>
      <c r="F45" s="160"/>
      <c r="G45" s="161"/>
    </row>
    <row r="46" spans="1:9" s="1" customFormat="1" ht="18.75" hidden="1" x14ac:dyDescent="0.25">
      <c r="A46" s="162" t="s">
        <v>45</v>
      </c>
      <c r="B46" s="128"/>
      <c r="C46" s="128"/>
      <c r="D46" s="128"/>
      <c r="E46" s="128"/>
      <c r="F46" s="128"/>
      <c r="G46" s="163"/>
    </row>
    <row r="47" spans="1:9" s="16" customFormat="1" ht="31.5" hidden="1" x14ac:dyDescent="0.25">
      <c r="A47" s="13" t="s">
        <v>6</v>
      </c>
      <c r="B47" s="73" t="s">
        <v>16</v>
      </c>
      <c r="C47" s="73" t="s">
        <v>37</v>
      </c>
      <c r="D47" s="73" t="s">
        <v>20</v>
      </c>
      <c r="E47" s="73" t="s">
        <v>46</v>
      </c>
      <c r="F47" s="73" t="s">
        <v>47</v>
      </c>
      <c r="G47" s="74" t="s">
        <v>48</v>
      </c>
    </row>
    <row r="48" spans="1:9" s="1" customFormat="1" hidden="1" x14ac:dyDescent="0.25">
      <c r="A48" s="21" t="s">
        <v>49</v>
      </c>
      <c r="B48" s="22">
        <v>1.78</v>
      </c>
      <c r="C48" s="164">
        <v>160</v>
      </c>
      <c r="D48" s="15">
        <v>1.44</v>
      </c>
      <c r="E48" s="70">
        <f>D48*$C$48</f>
        <v>230.39999999999998</v>
      </c>
      <c r="F48" s="166">
        <v>4.37</v>
      </c>
      <c r="G48" s="167">
        <v>7.6999999999999999E-2</v>
      </c>
    </row>
    <row r="49" spans="1:7" s="1" customFormat="1" ht="20.100000000000001" hidden="1" customHeight="1" x14ac:dyDescent="0.25">
      <c r="A49" s="21" t="s">
        <v>50</v>
      </c>
      <c r="B49" s="15">
        <v>1.2166666666666668</v>
      </c>
      <c r="C49" s="165"/>
      <c r="D49" s="15">
        <v>0.57750000000000001</v>
      </c>
      <c r="E49" s="70">
        <f t="shared" ref="E49:E51" si="0">D49*$C$48</f>
        <v>92.4</v>
      </c>
      <c r="F49" s="166"/>
      <c r="G49" s="167"/>
    </row>
    <row r="50" spans="1:7" s="20" customFormat="1" ht="15.75" hidden="1" x14ac:dyDescent="0.25">
      <c r="A50" s="21" t="s">
        <v>51</v>
      </c>
      <c r="B50" s="15">
        <v>0.98</v>
      </c>
      <c r="C50" s="165"/>
      <c r="D50" s="15">
        <v>0.88</v>
      </c>
      <c r="E50" s="70">
        <f t="shared" si="0"/>
        <v>140.80000000000001</v>
      </c>
      <c r="F50" s="166"/>
      <c r="G50" s="167"/>
    </row>
    <row r="51" spans="1:7" s="1" customFormat="1" hidden="1" x14ac:dyDescent="0.25">
      <c r="A51" s="21" t="s">
        <v>52</v>
      </c>
      <c r="B51" s="23">
        <v>1.78</v>
      </c>
      <c r="C51" s="165"/>
      <c r="D51" s="23">
        <v>1.17</v>
      </c>
      <c r="E51" s="70">
        <f t="shared" si="0"/>
        <v>187.2</v>
      </c>
      <c r="F51" s="166"/>
      <c r="G51" s="167"/>
    </row>
    <row r="52" spans="1:7" s="1" customFormat="1" ht="30" hidden="1" x14ac:dyDescent="0.25">
      <c r="A52" s="24" t="s">
        <v>53</v>
      </c>
      <c r="B52" s="25">
        <f>C13</f>
        <v>1.78</v>
      </c>
      <c r="C52" s="26">
        <f>C14</f>
        <v>160</v>
      </c>
      <c r="D52" s="25">
        <f>C15</f>
        <v>1.17</v>
      </c>
      <c r="E52" s="26">
        <f>D52*C52</f>
        <v>187.2</v>
      </c>
      <c r="F52" s="27">
        <f>C16</f>
        <v>4.37</v>
      </c>
      <c r="G52" s="28">
        <f>C17</f>
        <v>7.6999999999999999E-2</v>
      </c>
    </row>
    <row r="53" spans="1:7" s="1" customFormat="1" hidden="1" x14ac:dyDescent="0.25">
      <c r="A53" s="144"/>
      <c r="B53" s="145"/>
      <c r="C53" s="145"/>
      <c r="D53" s="145"/>
      <c r="E53" s="145"/>
      <c r="F53" s="145"/>
      <c r="G53" s="146"/>
    </row>
    <row r="54" spans="1:7" s="1" customFormat="1" ht="18.75" hidden="1" x14ac:dyDescent="0.25">
      <c r="A54" s="147" t="s">
        <v>54</v>
      </c>
      <c r="B54" s="148"/>
      <c r="C54" s="148"/>
      <c r="D54" s="148"/>
      <c r="E54" s="148"/>
      <c r="F54" s="148"/>
      <c r="G54" s="149"/>
    </row>
    <row r="55" spans="1:7" s="1" customFormat="1" ht="47.25" hidden="1" x14ac:dyDescent="0.25">
      <c r="A55" s="13" t="s">
        <v>55</v>
      </c>
      <c r="B55" s="73" t="s">
        <v>56</v>
      </c>
      <c r="C55" s="73" t="s">
        <v>57</v>
      </c>
      <c r="D55" s="73" t="s">
        <v>58</v>
      </c>
      <c r="E55" s="73" t="s">
        <v>59</v>
      </c>
      <c r="F55" s="73" t="s">
        <v>60</v>
      </c>
      <c r="G55" s="74" t="s">
        <v>61</v>
      </c>
    </row>
    <row r="56" spans="1:7" s="1" customFormat="1" hidden="1" x14ac:dyDescent="0.25">
      <c r="A56" s="21" t="s">
        <v>62</v>
      </c>
      <c r="B56" s="29">
        <v>0.60019999999999996</v>
      </c>
      <c r="C56" s="30">
        <f>C8</f>
        <v>0.9</v>
      </c>
      <c r="D56" s="80">
        <f>$D$57*(1-D76)</f>
        <v>0.95422385223296036</v>
      </c>
      <c r="E56" s="80">
        <f>$E$58*(1-D77)</f>
        <v>1.0036886375180742</v>
      </c>
      <c r="F56" s="150">
        <f>688/0.53</f>
        <v>1298.1132075471698</v>
      </c>
      <c r="G56" s="32">
        <f>IF($C$9="A", C56*F56, IF($C$9="B", D56*F56, IF($C$9="C", F56*E56)))</f>
        <v>1302.901476627236</v>
      </c>
    </row>
    <row r="57" spans="1:7" s="1" customFormat="1" hidden="1" x14ac:dyDescent="0.25">
      <c r="A57" s="21" t="s">
        <v>63</v>
      </c>
      <c r="B57" s="29">
        <v>0.57669999999999999</v>
      </c>
      <c r="C57" s="29">
        <f t="shared" ref="C57:C67" si="1">$C$56*(1+D76)</f>
        <v>0.84577614776703969</v>
      </c>
      <c r="D57" s="30">
        <f>C8</f>
        <v>0.9</v>
      </c>
      <c r="E57" s="80">
        <f>$E$58*(1-E77)</f>
        <v>0.95148551166220541</v>
      </c>
      <c r="F57" s="151"/>
      <c r="G57" s="32">
        <f>IF($C$9="A", C57*F56, IF($C$9="B", D57*F56, IF($C$9="C", F56*E57)))</f>
        <v>1235.1359094784855</v>
      </c>
    </row>
    <row r="58" spans="1:7" s="1" customFormat="1" hidden="1" x14ac:dyDescent="0.25">
      <c r="A58" s="21" t="s">
        <v>64</v>
      </c>
      <c r="B58" s="29">
        <v>0.54810000000000003</v>
      </c>
      <c r="C58" s="29">
        <f t="shared" si="1"/>
        <v>0.7963113624819258</v>
      </c>
      <c r="D58" s="29">
        <f t="shared" ref="D58:D67" si="2">$D$57*(1+E77)</f>
        <v>0.84851448833779464</v>
      </c>
      <c r="E58" s="30">
        <f>C8</f>
        <v>0.9</v>
      </c>
      <c r="F58" s="152"/>
      <c r="G58" s="32">
        <f>IF($C$9="A", C58*F56, IF($C$9="B", D58*F56, IF($C$9="C", F56*E58)))</f>
        <v>1168.3018867924529</v>
      </c>
    </row>
    <row r="59" spans="1:7" s="1" customFormat="1" ht="20.100000000000001" hidden="1" customHeight="1" x14ac:dyDescent="0.25">
      <c r="A59" s="21" t="s">
        <v>65</v>
      </c>
      <c r="B59" s="29">
        <f>C78/100</f>
        <v>0.79159999999999997</v>
      </c>
      <c r="C59" s="29">
        <f t="shared" si="1"/>
        <v>0.82265389276999301</v>
      </c>
      <c r="D59" s="29">
        <f t="shared" si="2"/>
        <v>0.87545760095818037</v>
      </c>
      <c r="E59" s="29">
        <f t="shared" ref="E59:E67" si="3">$E$58*(1+F78)</f>
        <v>0.92867284220627255</v>
      </c>
      <c r="F59" s="69"/>
      <c r="G59" s="32"/>
    </row>
    <row r="60" spans="1:7" s="3" customFormat="1" ht="15.75" hidden="1" x14ac:dyDescent="0.25">
      <c r="A60" s="21" t="s">
        <v>66</v>
      </c>
      <c r="B60" s="29">
        <f>C79/100</f>
        <v>0.79035</v>
      </c>
      <c r="C60" s="29">
        <f t="shared" si="1"/>
        <v>0.87647938397003711</v>
      </c>
      <c r="D60" s="29">
        <f t="shared" si="2"/>
        <v>0.93379693322003443</v>
      </c>
      <c r="E60" s="29">
        <f t="shared" si="3"/>
        <v>0.98953234818095615</v>
      </c>
      <c r="F60" s="69"/>
      <c r="G60" s="32"/>
    </row>
    <row r="61" spans="1:7" s="1" customFormat="1" hidden="1" x14ac:dyDescent="0.25">
      <c r="A61" s="21" t="s">
        <v>67</v>
      </c>
      <c r="B61" s="29">
        <v>0.52410000000000001</v>
      </c>
      <c r="C61" s="29">
        <f t="shared" si="1"/>
        <v>0.93785606206827032</v>
      </c>
      <c r="D61" s="29">
        <f t="shared" si="2"/>
        <v>0.99959618282102469</v>
      </c>
      <c r="E61" s="29">
        <f t="shared" si="3"/>
        <v>1.0611166593028951</v>
      </c>
      <c r="F61" s="150">
        <f>1298+($C$30*$B$30)</f>
        <v>1485.2</v>
      </c>
      <c r="G61" s="32">
        <f t="shared" ref="G61" si="4">IF($C$9="A", C61*F61, IF($C$9="B", D61*F61, IF($C$9="C", F61*E61)))</f>
        <v>1575.97046239666</v>
      </c>
    </row>
    <row r="62" spans="1:7" s="1" customFormat="1" hidden="1" x14ac:dyDescent="0.25">
      <c r="A62" s="21" t="s">
        <v>68</v>
      </c>
      <c r="B62" s="29">
        <v>0.5776</v>
      </c>
      <c r="C62" s="29">
        <f t="shared" si="1"/>
        <v>1.007909734880575</v>
      </c>
      <c r="D62" s="29">
        <f t="shared" si="2"/>
        <v>1.0746743222281334</v>
      </c>
      <c r="E62" s="29">
        <f t="shared" si="3"/>
        <v>1.1412900000000001</v>
      </c>
      <c r="F62" s="151"/>
      <c r="G62" s="32">
        <f>IF($C$9="A", C62*F61, IF($C$9="B", D62*F61, IF($C$9="C", F61*E62)))</f>
        <v>1695.0439080000003</v>
      </c>
    </row>
    <row r="63" spans="1:7" s="1" customFormat="1" ht="20.100000000000001" hidden="1" customHeight="1" x14ac:dyDescent="0.25">
      <c r="A63" s="21" t="s">
        <v>69</v>
      </c>
      <c r="B63" s="29">
        <v>0.60419999999999996</v>
      </c>
      <c r="C63" s="29">
        <f t="shared" si="1"/>
        <v>1.0628737651293145</v>
      </c>
      <c r="D63" s="29">
        <f t="shared" si="2"/>
        <v>1.1333239912723174</v>
      </c>
      <c r="E63" s="29">
        <f t="shared" si="3"/>
        <v>1.2045856293980717</v>
      </c>
      <c r="F63" s="151"/>
      <c r="G63" s="32">
        <f>IF($C$9="A", C63*F61, IF($C$9="B", D63*F61, IF($C$9="C", F61*E63)))</f>
        <v>1789.0505767820162</v>
      </c>
    </row>
    <row r="64" spans="1:7" s="1" customFormat="1" ht="20.100000000000001" hidden="1" customHeight="1" x14ac:dyDescent="0.25">
      <c r="A64" s="21" t="s">
        <v>70</v>
      </c>
      <c r="B64" s="29">
        <v>0.60429999999999995</v>
      </c>
      <c r="C64" s="29">
        <f t="shared" si="1"/>
        <v>1.0658987272391618</v>
      </c>
      <c r="D64" s="29">
        <f t="shared" si="2"/>
        <v>1.1359508646838805</v>
      </c>
      <c r="E64" s="29">
        <f t="shared" si="3"/>
        <v>1.2076847227975385</v>
      </c>
      <c r="F64" s="152"/>
      <c r="G64" s="32">
        <f>IF($C$9="A", C64*F61, IF($C$9="B", D64*F61, IF($C$9="C", F61*E64)))</f>
        <v>1793.6533502989041</v>
      </c>
    </row>
    <row r="65" spans="1:7" s="1" customFormat="1" ht="20.100000000000001" hidden="1" customHeight="1" x14ac:dyDescent="0.25">
      <c r="A65" s="33" t="s">
        <v>71</v>
      </c>
      <c r="B65" s="29">
        <f>C84/100</f>
        <v>0.70438999999999996</v>
      </c>
      <c r="C65" s="29">
        <f t="shared" si="1"/>
        <v>1.0419368202072041</v>
      </c>
      <c r="D65" s="29">
        <f t="shared" si="2"/>
        <v>1.1094502445906518</v>
      </c>
      <c r="E65" s="29">
        <f t="shared" si="3"/>
        <v>1.1788673494986146</v>
      </c>
      <c r="F65" s="69"/>
      <c r="G65" s="34"/>
    </row>
    <row r="66" spans="1:7" s="12" customFormat="1" ht="15.75" hidden="1" x14ac:dyDescent="0.25">
      <c r="A66" s="33" t="s">
        <v>72</v>
      </c>
      <c r="B66" s="29">
        <f>C85/100</f>
        <v>0.67688000000000004</v>
      </c>
      <c r="C66" s="29">
        <f t="shared" si="1"/>
        <v>1.0575185509933827</v>
      </c>
      <c r="D66" s="29">
        <f t="shared" si="2"/>
        <v>1.128623233894831</v>
      </c>
      <c r="E66" s="29">
        <f t="shared" si="3"/>
        <v>1.2004936439836209</v>
      </c>
      <c r="F66" s="69"/>
      <c r="G66" s="34"/>
    </row>
    <row r="67" spans="1:7" s="1" customFormat="1" hidden="1" x14ac:dyDescent="0.25">
      <c r="A67" s="33" t="s">
        <v>73</v>
      </c>
      <c r="B67" s="29">
        <f>C86/100</f>
        <v>0.69100545238095235</v>
      </c>
      <c r="C67" s="29">
        <f t="shared" si="1"/>
        <v>1.0598515171347418</v>
      </c>
      <c r="D67" s="29">
        <f t="shared" si="2"/>
        <v>1.1310595724045707</v>
      </c>
      <c r="E67" s="29">
        <f t="shared" si="3"/>
        <v>1.2023530386428565</v>
      </c>
      <c r="F67" s="69"/>
      <c r="G67" s="34"/>
    </row>
    <row r="68" spans="1:7" s="1" customFormat="1" hidden="1" x14ac:dyDescent="0.25">
      <c r="A68" s="153"/>
      <c r="B68" s="115"/>
      <c r="C68" s="115"/>
      <c r="D68" s="115"/>
      <c r="E68" s="115"/>
      <c r="F68" s="115"/>
      <c r="G68" s="154"/>
    </row>
    <row r="69" spans="1:7" s="1" customFormat="1" ht="18.75" hidden="1" x14ac:dyDescent="0.25">
      <c r="A69" s="155" t="s">
        <v>74</v>
      </c>
      <c r="B69" s="156"/>
      <c r="C69" s="156"/>
      <c r="D69" s="156"/>
      <c r="E69" s="156"/>
      <c r="F69" s="156"/>
      <c r="G69" s="157"/>
    </row>
    <row r="70" spans="1:7" s="1" customFormat="1" ht="15.75" hidden="1" x14ac:dyDescent="0.25">
      <c r="A70" s="176" t="s">
        <v>75</v>
      </c>
      <c r="B70" s="103"/>
      <c r="C70" s="103" t="s">
        <v>76</v>
      </c>
      <c r="D70" s="103"/>
      <c r="E70" s="103"/>
      <c r="F70" s="103"/>
      <c r="G70" s="177"/>
    </row>
    <row r="71" spans="1:7" s="1" customFormat="1" hidden="1" x14ac:dyDescent="0.25">
      <c r="A71" s="178">
        <f>IF(C5="A",F48,IF(C5="B",F48,IF(C5="C",F48,IF(C5="D",F48, IF(C5="E", C16)))))</f>
        <v>4.37</v>
      </c>
      <c r="B71" s="179"/>
      <c r="C71" s="180">
        <f>IF(C5="A",G48,IF(C5="B",G48,IF(C5="C",G48,IF(C5="D",G48, IF(C5="E", C17)))))</f>
        <v>7.6999999999999999E-2</v>
      </c>
      <c r="D71" s="180"/>
      <c r="E71" s="180"/>
      <c r="F71" s="180"/>
      <c r="G71" s="181"/>
    </row>
    <row r="72" spans="1:7" s="1" customFormat="1" hidden="1" x14ac:dyDescent="0.25">
      <c r="A72" s="182"/>
      <c r="B72" s="183"/>
      <c r="C72" s="183"/>
      <c r="D72" s="183"/>
      <c r="E72" s="183"/>
      <c r="F72" s="183"/>
      <c r="G72" s="184"/>
    </row>
    <row r="73" spans="1:7" s="1" customFormat="1" ht="18.75" hidden="1" x14ac:dyDescent="0.25">
      <c r="A73" s="185" t="s">
        <v>77</v>
      </c>
      <c r="B73" s="186"/>
      <c r="C73" s="186"/>
      <c r="D73" s="186"/>
      <c r="E73" s="186"/>
      <c r="F73" s="186"/>
      <c r="G73" s="187"/>
    </row>
    <row r="74" spans="1:7" s="1" customFormat="1" ht="47.25" hidden="1" customHeight="1" x14ac:dyDescent="0.25">
      <c r="A74" s="35" t="s">
        <v>55</v>
      </c>
      <c r="B74" s="36"/>
      <c r="C74" s="83" t="s">
        <v>99</v>
      </c>
      <c r="D74" s="73" t="s">
        <v>79</v>
      </c>
      <c r="E74" s="73" t="s">
        <v>80</v>
      </c>
      <c r="F74" s="130" t="s">
        <v>81</v>
      </c>
      <c r="G74" s="168"/>
    </row>
    <row r="75" spans="1:7" s="1" customFormat="1" hidden="1" x14ac:dyDescent="0.25">
      <c r="A75" s="169" t="s">
        <v>62</v>
      </c>
      <c r="B75" s="93"/>
      <c r="C75" s="81">
        <v>67.475999999999999</v>
      </c>
      <c r="D75" s="76">
        <v>0</v>
      </c>
      <c r="E75" s="84">
        <v>0.20085533825029622</v>
      </c>
      <c r="F75" s="170">
        <v>0.27932614801318278</v>
      </c>
      <c r="G75" s="171"/>
    </row>
    <row r="76" spans="1:7" s="1" customFormat="1" hidden="1" x14ac:dyDescent="0.25">
      <c r="A76" s="169" t="s">
        <v>63</v>
      </c>
      <c r="B76" s="93"/>
      <c r="C76" s="81">
        <v>71.458999999999989</v>
      </c>
      <c r="D76" s="84">
        <v>-6.0248724703289215E-2</v>
      </c>
      <c r="E76" s="76">
        <v>0</v>
      </c>
      <c r="F76" s="170">
        <v>0.19391516288709143</v>
      </c>
      <c r="G76" s="171"/>
    </row>
    <row r="77" spans="1:7" s="1" customFormat="1" hidden="1" x14ac:dyDescent="0.25">
      <c r="A77" s="172" t="s">
        <v>64</v>
      </c>
      <c r="B77" s="173"/>
      <c r="C77" s="81">
        <v>75.998999999999995</v>
      </c>
      <c r="D77" s="84">
        <v>-0.11520959724230471</v>
      </c>
      <c r="E77" s="84">
        <v>-5.7206124069117077E-2</v>
      </c>
      <c r="F77" s="174">
        <v>0</v>
      </c>
      <c r="G77" s="175"/>
    </row>
    <row r="78" spans="1:7" s="1" customFormat="1" hidden="1" x14ac:dyDescent="0.25">
      <c r="A78" s="172" t="s">
        <v>65</v>
      </c>
      <c r="B78" s="173"/>
      <c r="C78" s="81">
        <v>79.16</v>
      </c>
      <c r="D78" s="84">
        <v>-8.5940119144452265E-2</v>
      </c>
      <c r="E78" s="84">
        <v>-2.7269332268688551E-2</v>
      </c>
      <c r="F78" s="170">
        <v>3.1858713562525093E-2</v>
      </c>
      <c r="G78" s="171"/>
    </row>
    <row r="79" spans="1:7" s="1" customFormat="1" hidden="1" x14ac:dyDescent="0.25">
      <c r="A79" s="172" t="s">
        <v>66</v>
      </c>
      <c r="B79" s="173"/>
      <c r="C79" s="81">
        <v>79.034999999999997</v>
      </c>
      <c r="D79" s="84">
        <v>-2.6134017811069932E-2</v>
      </c>
      <c r="E79" s="84">
        <v>3.7552148022260458E-2</v>
      </c>
      <c r="F79" s="170">
        <v>9.9480386867729031E-2</v>
      </c>
      <c r="G79" s="171"/>
    </row>
    <row r="80" spans="1:7" s="1" customFormat="1" hidden="1" x14ac:dyDescent="0.25">
      <c r="A80" s="172" t="s">
        <v>67</v>
      </c>
      <c r="B80" s="173"/>
      <c r="C80" s="81">
        <v>77.338999999999999</v>
      </c>
      <c r="D80" s="84">
        <v>4.2062291186967096E-2</v>
      </c>
      <c r="E80" s="84">
        <v>0.11066242535669422</v>
      </c>
      <c r="F80" s="170">
        <v>0.17901851033655014</v>
      </c>
      <c r="G80" s="171"/>
    </row>
    <row r="81" spans="1:7" s="1" customFormat="1" hidden="1" x14ac:dyDescent="0.25">
      <c r="A81" s="172" t="s">
        <v>68</v>
      </c>
      <c r="B81" s="173"/>
      <c r="C81" s="81">
        <v>78.248999999999995</v>
      </c>
      <c r="D81" s="84">
        <v>0.11989970542286099</v>
      </c>
      <c r="E81" s="84">
        <v>0.19408258025348157</v>
      </c>
      <c r="F81" s="170">
        <v>0.2681</v>
      </c>
      <c r="G81" s="171"/>
    </row>
    <row r="82" spans="1:7" s="1" customFormat="1" hidden="1" x14ac:dyDescent="0.25">
      <c r="A82" s="172" t="s">
        <v>69</v>
      </c>
      <c r="B82" s="173"/>
      <c r="C82" s="81">
        <v>79.431474537037047</v>
      </c>
      <c r="D82" s="84">
        <v>0.1809708501436828</v>
      </c>
      <c r="E82" s="84">
        <v>0.25924887919146378</v>
      </c>
      <c r="F82" s="170">
        <v>0.33842847710896845</v>
      </c>
      <c r="G82" s="171"/>
    </row>
    <row r="83" spans="1:7" s="1" customFormat="1" hidden="1" x14ac:dyDescent="0.25">
      <c r="A83" s="172" t="s">
        <v>70</v>
      </c>
      <c r="B83" s="173"/>
      <c r="C83" s="81">
        <v>75.34</v>
      </c>
      <c r="D83" s="84">
        <v>0.18433191915462421</v>
      </c>
      <c r="E83" s="84">
        <v>0.26216762742653388</v>
      </c>
      <c r="F83" s="170">
        <v>0.34187191421948709</v>
      </c>
      <c r="G83" s="171"/>
    </row>
    <row r="84" spans="1:7" s="1" customFormat="1" hidden="1" x14ac:dyDescent="0.25">
      <c r="A84" s="172" t="s">
        <v>82</v>
      </c>
      <c r="B84" s="173"/>
      <c r="C84" s="81">
        <v>70.438999999999993</v>
      </c>
      <c r="D84" s="84">
        <v>0.15770757800800464</v>
      </c>
      <c r="E84" s="84">
        <v>0.23272249398961312</v>
      </c>
      <c r="F84" s="170">
        <v>0.30985261055401631</v>
      </c>
      <c r="G84" s="171"/>
    </row>
    <row r="85" spans="1:7" s="1" customFormat="1" hidden="1" x14ac:dyDescent="0.25">
      <c r="A85" s="172" t="s">
        <v>72</v>
      </c>
      <c r="B85" s="173"/>
      <c r="C85" s="81">
        <v>67.688000000000002</v>
      </c>
      <c r="D85" s="84">
        <v>0.17502061221486961</v>
      </c>
      <c r="E85" s="84">
        <v>0.2540258154387009</v>
      </c>
      <c r="F85" s="170">
        <v>0.33388182664846761</v>
      </c>
      <c r="G85" s="171"/>
    </row>
    <row r="86" spans="1:7" s="1" customFormat="1" ht="15.75" hidden="1" thickBot="1" x14ac:dyDescent="0.3">
      <c r="A86" s="192" t="s">
        <v>73</v>
      </c>
      <c r="B86" s="193"/>
      <c r="C86" s="82">
        <v>69.100545238095236</v>
      </c>
      <c r="D86" s="85">
        <v>0.17761279681637962</v>
      </c>
      <c r="E86" s="85">
        <v>0.25673285822730074</v>
      </c>
      <c r="F86" s="194">
        <v>0.33594782071428492</v>
      </c>
      <c r="G86" s="195"/>
    </row>
    <row r="87" spans="1:7" s="1" customFormat="1" hidden="1" x14ac:dyDescent="0.25"/>
    <row r="88" spans="1:7" s="1" customFormat="1" ht="18.75" hidden="1" x14ac:dyDescent="0.25">
      <c r="A88" s="188" t="s">
        <v>83</v>
      </c>
      <c r="B88" s="186"/>
      <c r="C88" s="186"/>
      <c r="D88" s="186"/>
      <c r="E88" s="186"/>
      <c r="F88" s="186"/>
      <c r="G88" s="187"/>
    </row>
    <row r="89" spans="1:7" s="1" customFormat="1" hidden="1" x14ac:dyDescent="0.25">
      <c r="A89" s="189" t="s">
        <v>84</v>
      </c>
      <c r="B89" s="189"/>
      <c r="C89" s="190" t="s">
        <v>85</v>
      </c>
      <c r="D89" s="190"/>
      <c r="E89" s="190" t="s">
        <v>86</v>
      </c>
      <c r="F89" s="190"/>
      <c r="G89" s="190"/>
    </row>
    <row r="90" spans="1:7" s="1" customFormat="1" hidden="1" x14ac:dyDescent="0.25">
      <c r="A90" s="191">
        <f>(F56+(C26*C25))</f>
        <v>1550.1132075471698</v>
      </c>
      <c r="B90" s="191"/>
      <c r="C90" s="179">
        <f>IF(C6="A", 258, IF(C6="B", 288, IF(C6="C",319)))</f>
        <v>288</v>
      </c>
      <c r="D90" s="179"/>
      <c r="E90" s="179">
        <f>C90+C25</f>
        <v>428</v>
      </c>
      <c r="F90" s="179"/>
      <c r="G90" s="179"/>
    </row>
    <row r="91" spans="1:7" s="39" customFormat="1" hidden="1" x14ac:dyDescent="0.2">
      <c r="A91" s="1"/>
      <c r="E91" s="40"/>
      <c r="F91" s="41"/>
      <c r="G91" s="41"/>
    </row>
    <row r="92" spans="1:7" s="39" customFormat="1" x14ac:dyDescent="0.25">
      <c r="A92"/>
      <c r="B92" s="1"/>
      <c r="E92" s="40"/>
      <c r="F92" s="41"/>
      <c r="G92" s="41"/>
    </row>
    <row r="93" spans="1:7" s="39" customFormat="1" x14ac:dyDescent="0.2">
      <c r="A93" s="1"/>
      <c r="B93" s="1"/>
      <c r="C93" s="1"/>
      <c r="D93" s="1"/>
      <c r="E93" s="40"/>
      <c r="F93" s="41"/>
      <c r="G93" s="41"/>
    </row>
    <row r="94" spans="1:7" s="39" customFormat="1" x14ac:dyDescent="0.2">
      <c r="C94" s="1"/>
      <c r="D94" s="1"/>
      <c r="E94" s="40"/>
      <c r="F94" s="41"/>
      <c r="G94" s="41"/>
    </row>
    <row r="95" spans="1:7" s="39" customFormat="1" ht="14.25" x14ac:dyDescent="0.2">
      <c r="E95" s="42"/>
      <c r="F95" s="43"/>
      <c r="G95" s="43"/>
    </row>
    <row r="96" spans="1:7" s="39" customFormat="1" ht="14.25" x14ac:dyDescent="0.2">
      <c r="E96" s="42"/>
      <c r="F96" s="43"/>
      <c r="G96" s="43"/>
    </row>
    <row r="97" spans="1:7" x14ac:dyDescent="0.25">
      <c r="A97" s="39"/>
      <c r="B97" s="39"/>
      <c r="C97" s="39"/>
      <c r="D97" s="39"/>
      <c r="E97" s="42"/>
      <c r="F97" s="44"/>
      <c r="G97" s="44"/>
    </row>
    <row r="98" spans="1:7" x14ac:dyDescent="0.25">
      <c r="A98" s="39"/>
      <c r="B98" s="39"/>
      <c r="C98" s="39"/>
      <c r="D98" s="39"/>
      <c r="E98" s="42"/>
      <c r="F98" s="44"/>
      <c r="G98" s="44"/>
    </row>
    <row r="99" spans="1:7" x14ac:dyDescent="0.25">
      <c r="A99" s="39"/>
      <c r="B99" s="39"/>
      <c r="C99" s="39"/>
      <c r="D99" s="39"/>
      <c r="E99" s="42"/>
      <c r="F99" s="44"/>
      <c r="G99" s="44"/>
    </row>
    <row r="100" spans="1:7" x14ac:dyDescent="0.25">
      <c r="A100" s="39"/>
      <c r="B100" s="39"/>
      <c r="C100" s="39"/>
      <c r="D100" s="39"/>
      <c r="E100" s="42"/>
      <c r="F100" s="44"/>
      <c r="G100" s="44"/>
    </row>
    <row r="101" spans="1:7" x14ac:dyDescent="0.25">
      <c r="C101" s="39"/>
      <c r="D101" s="39"/>
      <c r="E101" s="39"/>
      <c r="F101" s="39"/>
      <c r="G101" s="39"/>
    </row>
    <row r="109" spans="1:7" x14ac:dyDescent="0.25">
      <c r="A109" s="57" t="s">
        <v>91</v>
      </c>
    </row>
  </sheetData>
  <sheetProtection algorithmName="SHA-512" hashValue="H/3hzgkxgLIvMZcTYLZBWKcih74T7eXlA8Q1xjGL3o0TtUBEz78XBKfTbKk7VGFgUHqyBHD6mlpeTvL+CosTow==" saltValue="SIQDrx5OPMsACumyvl4MKA==" spinCount="100000" sheet="1" objects="1" scenarios="1"/>
  <mergeCells count="121">
    <mergeCell ref="A88:G88"/>
    <mergeCell ref="A89:B89"/>
    <mergeCell ref="C89:D89"/>
    <mergeCell ref="E89:G89"/>
    <mergeCell ref="A90:B90"/>
    <mergeCell ref="C90:D90"/>
    <mergeCell ref="E90:G90"/>
    <mergeCell ref="A84:B84"/>
    <mergeCell ref="F84:G84"/>
    <mergeCell ref="A85:B85"/>
    <mergeCell ref="F85:G85"/>
    <mergeCell ref="A86:B86"/>
    <mergeCell ref="F86:G86"/>
    <mergeCell ref="A81:B81"/>
    <mergeCell ref="F81:G81"/>
    <mergeCell ref="A82:B82"/>
    <mergeCell ref="F82:G82"/>
    <mergeCell ref="A83:B83"/>
    <mergeCell ref="F83:G83"/>
    <mergeCell ref="A78:B78"/>
    <mergeCell ref="F78:G78"/>
    <mergeCell ref="A79:B79"/>
    <mergeCell ref="F79:G79"/>
    <mergeCell ref="A80:B80"/>
    <mergeCell ref="F80:G80"/>
    <mergeCell ref="F74:G74"/>
    <mergeCell ref="A75:B75"/>
    <mergeCell ref="F75:G75"/>
    <mergeCell ref="A76:B76"/>
    <mergeCell ref="F76:G76"/>
    <mergeCell ref="A77:B77"/>
    <mergeCell ref="F77:G77"/>
    <mergeCell ref="A70:B70"/>
    <mergeCell ref="C70:G70"/>
    <mergeCell ref="A71:B71"/>
    <mergeCell ref="C71:G71"/>
    <mergeCell ref="A72:G72"/>
    <mergeCell ref="A73:G73"/>
    <mergeCell ref="A53:G53"/>
    <mergeCell ref="A54:G54"/>
    <mergeCell ref="F56:F58"/>
    <mergeCell ref="F61:F64"/>
    <mergeCell ref="A68:G68"/>
    <mergeCell ref="A69:G69"/>
    <mergeCell ref="A43:G44"/>
    <mergeCell ref="A45:G45"/>
    <mergeCell ref="A46:G46"/>
    <mergeCell ref="C48:C51"/>
    <mergeCell ref="F48:F51"/>
    <mergeCell ref="G48:G51"/>
    <mergeCell ref="A39:G39"/>
    <mergeCell ref="A40:B40"/>
    <mergeCell ref="C40:D40"/>
    <mergeCell ref="E40:G40"/>
    <mergeCell ref="F41:G41"/>
    <mergeCell ref="F42:G42"/>
    <mergeCell ref="A35:G35"/>
    <mergeCell ref="A36:B36"/>
    <mergeCell ref="C36:D36"/>
    <mergeCell ref="E36:G36"/>
    <mergeCell ref="A37:B37"/>
    <mergeCell ref="C37:D37"/>
    <mergeCell ref="E37:G37"/>
    <mergeCell ref="A31:G31"/>
    <mergeCell ref="A32:G32"/>
    <mergeCell ref="A33:B33"/>
    <mergeCell ref="C33:D33"/>
    <mergeCell ref="E33:G33"/>
    <mergeCell ref="A34:B34"/>
    <mergeCell ref="C34:D34"/>
    <mergeCell ref="E34:G34"/>
    <mergeCell ref="A26:B26"/>
    <mergeCell ref="D26:G26"/>
    <mergeCell ref="A27:G27"/>
    <mergeCell ref="A28:G28"/>
    <mergeCell ref="D29:G29"/>
    <mergeCell ref="D30:G30"/>
    <mergeCell ref="D22:G22"/>
    <mergeCell ref="D23:G23"/>
    <mergeCell ref="A24:B24"/>
    <mergeCell ref="D24:G24"/>
    <mergeCell ref="A25:B25"/>
    <mergeCell ref="D25:G25"/>
    <mergeCell ref="A18:B18"/>
    <mergeCell ref="C18:G18"/>
    <mergeCell ref="A19:G19"/>
    <mergeCell ref="A20:B20"/>
    <mergeCell ref="D20:G20"/>
    <mergeCell ref="A21:B21"/>
    <mergeCell ref="D21:G21"/>
    <mergeCell ref="D16:G16"/>
    <mergeCell ref="A17:B17"/>
    <mergeCell ref="D17:G17"/>
    <mergeCell ref="A11:G11"/>
    <mergeCell ref="A12:B12"/>
    <mergeCell ref="D12:G12"/>
    <mergeCell ref="A13:B13"/>
    <mergeCell ref="D13:G13"/>
    <mergeCell ref="A14:B14"/>
    <mergeCell ref="D14:G14"/>
    <mergeCell ref="A16:B16"/>
    <mergeCell ref="A1:G1"/>
    <mergeCell ref="A2:G2"/>
    <mergeCell ref="A3:B3"/>
    <mergeCell ref="D3:G3"/>
    <mergeCell ref="A4:B4"/>
    <mergeCell ref="D4:G4"/>
    <mergeCell ref="A8:B8"/>
    <mergeCell ref="D8:G8"/>
    <mergeCell ref="A9:B9"/>
    <mergeCell ref="D9:G9"/>
    <mergeCell ref="A10:B10"/>
    <mergeCell ref="C10:G10"/>
    <mergeCell ref="A5:B5"/>
    <mergeCell ref="D5:G5"/>
    <mergeCell ref="A6:B6"/>
    <mergeCell ref="D6:G6"/>
    <mergeCell ref="A7:B7"/>
    <mergeCell ref="D7:G7"/>
    <mergeCell ref="A15:B15"/>
    <mergeCell ref="D15:G15"/>
  </mergeCells>
  <pageMargins left="0.7" right="0.7" top="0.75" bottom="0.75" header="0.3" footer="0.3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opLeftCell="A52" zoomScale="55" zoomScaleNormal="55" workbookViewId="0">
      <selection activeCell="A54" sqref="A54:G86"/>
    </sheetView>
  </sheetViews>
  <sheetFormatPr defaultColWidth="8.85546875" defaultRowHeight="15" x14ac:dyDescent="0.25"/>
  <cols>
    <col min="1" max="1" width="34.42578125" customWidth="1"/>
    <col min="2" max="2" width="33.42578125" customWidth="1"/>
    <col min="3" max="3" width="33" customWidth="1"/>
    <col min="4" max="4" width="33.28515625" bestFit="1" customWidth="1"/>
    <col min="5" max="5" width="35.42578125" customWidth="1"/>
    <col min="6" max="6" width="15.28515625" customWidth="1"/>
    <col min="7" max="7" width="28.140625" customWidth="1"/>
    <col min="9" max="9" width="10.85546875" bestFit="1" customWidth="1"/>
    <col min="10" max="10" width="15" customWidth="1"/>
  </cols>
  <sheetData>
    <row r="1" spans="1:10" s="1" customFormat="1" ht="20.100000000000001" customHeight="1" x14ac:dyDescent="0.25">
      <c r="A1" s="95" t="s">
        <v>0</v>
      </c>
      <c r="B1" s="96"/>
      <c r="C1" s="96"/>
      <c r="D1" s="96"/>
      <c r="E1" s="96"/>
      <c r="F1" s="96"/>
      <c r="G1" s="97"/>
    </row>
    <row r="2" spans="1:10" s="1" customFormat="1" ht="20.100000000000001" customHeight="1" x14ac:dyDescent="0.25">
      <c r="A2" s="98" t="s">
        <v>1</v>
      </c>
      <c r="B2" s="99"/>
      <c r="C2" s="99"/>
      <c r="D2" s="99"/>
      <c r="E2" s="99"/>
      <c r="F2" s="99"/>
      <c r="G2" s="100"/>
    </row>
    <row r="3" spans="1:10" s="3" customFormat="1" ht="16.5" thickBot="1" x14ac:dyDescent="0.3">
      <c r="A3" s="101" t="s">
        <v>2</v>
      </c>
      <c r="B3" s="102"/>
      <c r="C3" s="2"/>
      <c r="D3" s="103" t="s">
        <v>3</v>
      </c>
      <c r="E3" s="103"/>
      <c r="F3" s="103"/>
      <c r="G3" s="103"/>
    </row>
    <row r="4" spans="1:10" s="1" customFormat="1" ht="15.75" thickTop="1" x14ac:dyDescent="0.25">
      <c r="A4" s="87" t="s">
        <v>4</v>
      </c>
      <c r="B4" s="88"/>
      <c r="C4" s="61">
        <v>100</v>
      </c>
      <c r="D4" s="92" t="s">
        <v>5</v>
      </c>
      <c r="E4" s="93"/>
      <c r="F4" s="93"/>
      <c r="G4" s="93"/>
    </row>
    <row r="5" spans="1:10" s="1" customFormat="1" x14ac:dyDescent="0.25">
      <c r="A5" s="87" t="s">
        <v>6</v>
      </c>
      <c r="B5" s="88"/>
      <c r="C5" s="62" t="s">
        <v>101</v>
      </c>
      <c r="D5" s="92" t="s">
        <v>92</v>
      </c>
      <c r="E5" s="93"/>
      <c r="F5" s="93"/>
      <c r="G5" s="93"/>
    </row>
    <row r="6" spans="1:10" s="1" customFormat="1" x14ac:dyDescent="0.25">
      <c r="A6" s="87" t="s">
        <v>7</v>
      </c>
      <c r="B6" s="88"/>
      <c r="C6" s="62" t="s">
        <v>8</v>
      </c>
      <c r="D6" s="92" t="s">
        <v>9</v>
      </c>
      <c r="E6" s="93"/>
      <c r="F6" s="93"/>
      <c r="G6" s="93"/>
      <c r="I6"/>
    </row>
    <row r="7" spans="1:10" s="1" customFormat="1" x14ac:dyDescent="0.25">
      <c r="A7" s="87" t="s">
        <v>10</v>
      </c>
      <c r="B7" s="88"/>
      <c r="C7" s="63" t="s">
        <v>8</v>
      </c>
      <c r="D7" s="92" t="s">
        <v>11</v>
      </c>
      <c r="E7" s="93"/>
      <c r="F7" s="93"/>
      <c r="G7" s="93"/>
      <c r="I7"/>
    </row>
    <row r="8" spans="1:10" s="1" customFormat="1" x14ac:dyDescent="0.25">
      <c r="A8" s="87" t="s">
        <v>12</v>
      </c>
      <c r="B8" s="88"/>
      <c r="C8" s="64">
        <v>0.85</v>
      </c>
      <c r="D8" s="92" t="s">
        <v>13</v>
      </c>
      <c r="E8" s="93"/>
      <c r="F8" s="93"/>
      <c r="G8" s="93"/>
      <c r="I8"/>
    </row>
    <row r="9" spans="1:10" s="1" customFormat="1" ht="15.75" thickBot="1" x14ac:dyDescent="0.3">
      <c r="A9" s="87" t="s">
        <v>14</v>
      </c>
      <c r="B9" s="88"/>
      <c r="C9" s="65" t="s">
        <v>98</v>
      </c>
      <c r="D9" s="92" t="s">
        <v>9</v>
      </c>
      <c r="E9" s="93"/>
      <c r="F9" s="93"/>
      <c r="G9" s="93"/>
      <c r="I9"/>
    </row>
    <row r="10" spans="1:10" s="1" customFormat="1" ht="15.75" thickTop="1" x14ac:dyDescent="0.25">
      <c r="A10" s="87"/>
      <c r="B10" s="88"/>
      <c r="C10" s="89"/>
      <c r="D10" s="90"/>
      <c r="E10" s="90"/>
      <c r="F10" s="90"/>
      <c r="G10" s="91"/>
      <c r="I10"/>
    </row>
    <row r="11" spans="1:10" s="1" customFormat="1" ht="20.100000000000001" hidden="1" customHeight="1" x14ac:dyDescent="0.25">
      <c r="A11" s="104" t="s">
        <v>15</v>
      </c>
      <c r="B11" s="105"/>
      <c r="C11" s="105"/>
      <c r="D11" s="105"/>
      <c r="E11" s="105"/>
      <c r="F11" s="105"/>
      <c r="G11" s="106"/>
      <c r="I11"/>
      <c r="J11" s="5"/>
    </row>
    <row r="12" spans="1:10" s="3" customFormat="1" ht="15.75" hidden="1" x14ac:dyDescent="0.25">
      <c r="A12" s="107" t="s">
        <v>2</v>
      </c>
      <c r="B12" s="108"/>
      <c r="C12" s="6"/>
      <c r="D12" s="109" t="s">
        <v>3</v>
      </c>
      <c r="E12" s="109"/>
      <c r="F12" s="109"/>
      <c r="G12" s="109"/>
      <c r="I12"/>
    </row>
    <row r="13" spans="1:10" s="1" customFormat="1" hidden="1" x14ac:dyDescent="0.25">
      <c r="A13" s="87" t="s">
        <v>16</v>
      </c>
      <c r="B13" s="94"/>
      <c r="C13" s="56">
        <f>IF(C5="A",B48,IF(C5="B",B49,IF(C5="C",B50,IF(C5="D",B51))))</f>
        <v>1.78</v>
      </c>
      <c r="D13" s="92" t="s">
        <v>17</v>
      </c>
      <c r="E13" s="93"/>
      <c r="F13" s="93"/>
      <c r="G13" s="93"/>
      <c r="I13"/>
    </row>
    <row r="14" spans="1:10" s="1" customFormat="1" hidden="1" x14ac:dyDescent="0.25">
      <c r="A14" s="87" t="s">
        <v>18</v>
      </c>
      <c r="B14" s="94"/>
      <c r="C14" s="4">
        <v>160</v>
      </c>
      <c r="D14" s="92" t="s">
        <v>19</v>
      </c>
      <c r="E14" s="93"/>
      <c r="F14" s="93"/>
      <c r="G14" s="93"/>
      <c r="I14"/>
    </row>
    <row r="15" spans="1:10" s="1" customFormat="1" hidden="1" x14ac:dyDescent="0.25">
      <c r="A15" s="87" t="s">
        <v>20</v>
      </c>
      <c r="B15" s="94"/>
      <c r="C15" s="56">
        <f>IF(C5="A",D48,IF(C5="B",D49,IF(C5="C",D50,IF(C5="D",D51))))</f>
        <v>1.17</v>
      </c>
      <c r="D15" s="92" t="s">
        <v>21</v>
      </c>
      <c r="E15" s="93"/>
      <c r="F15" s="93"/>
      <c r="G15" s="93"/>
      <c r="I15"/>
    </row>
    <row r="16" spans="1:10" s="1" customFormat="1" hidden="1" x14ac:dyDescent="0.25">
      <c r="A16" s="87" t="s">
        <v>22</v>
      </c>
      <c r="B16" s="94"/>
      <c r="C16" s="7">
        <v>4.37</v>
      </c>
      <c r="D16" s="92" t="s">
        <v>23</v>
      </c>
      <c r="E16" s="93"/>
      <c r="F16" s="93"/>
      <c r="G16" s="93"/>
      <c r="I16"/>
    </row>
    <row r="17" spans="1:9" s="1" customFormat="1" ht="15.75" hidden="1" thickBot="1" x14ac:dyDescent="0.3">
      <c r="A17" s="87" t="s">
        <v>24</v>
      </c>
      <c r="B17" s="94"/>
      <c r="C17" s="8">
        <v>7.6999999999999999E-2</v>
      </c>
      <c r="D17" s="92" t="s">
        <v>25</v>
      </c>
      <c r="E17" s="93"/>
      <c r="F17" s="93"/>
      <c r="G17" s="93"/>
      <c r="I17"/>
    </row>
    <row r="18" spans="1:9" s="1" customFormat="1" ht="15.75" x14ac:dyDescent="0.25">
      <c r="A18" s="87"/>
      <c r="B18" s="88"/>
      <c r="C18" s="89"/>
      <c r="D18" s="90"/>
      <c r="E18" s="90"/>
      <c r="F18" s="90"/>
      <c r="G18" s="91"/>
      <c r="H18" s="9"/>
      <c r="I18"/>
    </row>
    <row r="19" spans="1:9" s="1" customFormat="1" ht="20.100000000000001" customHeight="1" x14ac:dyDescent="0.25">
      <c r="A19" s="104" t="s">
        <v>87</v>
      </c>
      <c r="B19" s="105"/>
      <c r="C19" s="105"/>
      <c r="D19" s="105"/>
      <c r="E19" s="105"/>
      <c r="F19" s="105"/>
      <c r="G19" s="106"/>
      <c r="H19" s="10"/>
      <c r="I19"/>
    </row>
    <row r="20" spans="1:9" s="12" customFormat="1" ht="15.75" x14ac:dyDescent="0.25">
      <c r="A20" s="107" t="s">
        <v>2</v>
      </c>
      <c r="B20" s="108"/>
      <c r="C20" s="6"/>
      <c r="D20" s="109" t="s">
        <v>3</v>
      </c>
      <c r="E20" s="109"/>
      <c r="F20" s="109"/>
      <c r="G20" s="109"/>
      <c r="H20" s="11"/>
    </row>
    <row r="21" spans="1:9" s="1" customFormat="1" x14ac:dyDescent="0.25">
      <c r="A21" s="87" t="s">
        <v>26</v>
      </c>
      <c r="B21" s="88"/>
      <c r="C21" s="58">
        <f>ROUND(C4*C71,0)</f>
        <v>8</v>
      </c>
      <c r="D21" s="92" t="s">
        <v>27</v>
      </c>
      <c r="E21" s="93"/>
      <c r="F21" s="93"/>
      <c r="G21" s="93"/>
      <c r="H21" s="10"/>
    </row>
    <row r="22" spans="1:9" s="1" customFormat="1" x14ac:dyDescent="0.25">
      <c r="A22" s="55"/>
      <c r="B22" s="54" t="s">
        <v>28</v>
      </c>
      <c r="C22" s="59" t="str">
        <f>IF(AND(E90&gt;=366,E90&lt;=396),"January",IF(AND(E90&gt;=397,E90&lt;=424),"February",IF(AND(E90&gt;=425,E90&lt;=455),"March",IF(AND(E90&gt;=456,E90&lt;=485),"April",IF(AND(E90&gt;=486,E90&lt;=516),"May",IF(AND(E90&gt;=517,E90&lt;=546),"June",IF(AND(E90&gt;=547,E90&lt;=577),"July",IF(AND(E90&gt;=578,E90&lt;=608),"August",IF(AND(E90&gt;=244,E90&lt;=273),"September",IF(AND(E90&gt;=274,E90&lt;=304),"October",IF(AND(E90&gt;=305,E90&lt;=344),"November",IF(AND(E90&gt;=335,E90&lt;=365),"December"))))))))))))</f>
        <v>March</v>
      </c>
      <c r="D22" s="110" t="s">
        <v>29</v>
      </c>
      <c r="E22" s="111"/>
      <c r="F22" s="111"/>
      <c r="G22" s="92"/>
      <c r="H22" s="10"/>
    </row>
    <row r="23" spans="1:9" s="1" customFormat="1" ht="15.75" thickBot="1" x14ac:dyDescent="0.3">
      <c r="A23" s="55"/>
      <c r="B23" s="54" t="s">
        <v>30</v>
      </c>
      <c r="C23" s="60">
        <f>IF(AND(C22="February",C9="A"),C61,IF(AND(C22="February",C9="B"),D61,IF(AND(C22="February",C9="C"),E61,IF(AND(C22="March",C9="A"),C62,IF(AND(C22="March",C9="B"),D62,IF(AND(C22="March",C9="C"),E62,IF(AND(C22="April",C9="A"),C63,IF(AND(C22="April",C9="B"),D63,IF(AND(C22="April",C9="C"),E63,IF(AND(C22="May",C9="A"),C64,IF(AND(C22="May",C9="B"),D64,IF(AND(C22="May",C9="C"),E64,IF(AND(C22="June",C9="A"),C65,IF(AND(C22="June",C9="B"),D65,IF(AND(C22="June",C9="C"),E65, IF(AND(C22="July",C9="A"), C66, IF(AND(C22="July", C9="B"), D66, IF(AND(C22="July",C9="C"), E66, IF(AND(C22="August",C9="A"),C67,IF(AND(C22="August",C9="B"),D67,IF(AND(C22="August",C9="C"),E67, IF(AND(C22="September",C9="A"),C56,IF(AND(C22="September",C9="B"),D56,IF(AND(C22="September",C9="C"),E56, IF(AND(C22="October",C9="A"),C57,IF(AND(C22="October",C9="B"),D57,IF(AND(C22="October",C9="C"),E57, IF(AND(C22="November",C9="A"),C58,IF(AND(C22="November",C9="B"),D58,IF(AND(C22="November",C9="C"),E58, IF(AND(C22="December",C9="A"),C59,IF(AND(C22="December",C9="B"),D59,IF(AND(C22="December",C9="C"),E59, IF(AND(C22="January",C9="A"),C60,IF(AND(C22="January",C9="B"),D60,IF(AND(C22="January",C9="C"),E60))))))))))))))))))))))))))))))))))))</f>
        <v>0.89579556703053076</v>
      </c>
      <c r="D23" s="110" t="s">
        <v>31</v>
      </c>
      <c r="E23" s="111"/>
      <c r="F23" s="111"/>
      <c r="G23" s="92"/>
      <c r="H23" s="10"/>
    </row>
    <row r="24" spans="1:9" s="1" customFormat="1" ht="15.75" thickTop="1" x14ac:dyDescent="0.25">
      <c r="A24" s="87" t="s">
        <v>32</v>
      </c>
      <c r="B24" s="94"/>
      <c r="C24" s="66">
        <v>1</v>
      </c>
      <c r="D24" s="112" t="s">
        <v>96</v>
      </c>
      <c r="E24" s="113"/>
      <c r="F24" s="113"/>
      <c r="G24" s="113"/>
      <c r="H24" s="10"/>
    </row>
    <row r="25" spans="1:9" s="1" customFormat="1" ht="20.100000000000001" customHeight="1" x14ac:dyDescent="0.25">
      <c r="A25" s="87" t="s">
        <v>33</v>
      </c>
      <c r="B25" s="94"/>
      <c r="C25" s="67">
        <v>140</v>
      </c>
      <c r="D25" s="92" t="s">
        <v>34</v>
      </c>
      <c r="E25" s="93"/>
      <c r="F25" s="93"/>
      <c r="G25" s="93"/>
      <c r="H25" s="10"/>
    </row>
    <row r="26" spans="1:9" s="12" customFormat="1" ht="16.5" thickBot="1" x14ac:dyDescent="0.3">
      <c r="A26" s="87" t="s">
        <v>20</v>
      </c>
      <c r="B26" s="88"/>
      <c r="C26" s="68">
        <v>1.8</v>
      </c>
      <c r="D26" s="92" t="s">
        <v>35</v>
      </c>
      <c r="E26" s="93"/>
      <c r="F26" s="93"/>
      <c r="G26" s="93"/>
      <c r="H26" s="11"/>
    </row>
    <row r="27" spans="1:9" s="1" customFormat="1" ht="16.5" thickTop="1" thickBot="1" x14ac:dyDescent="0.3">
      <c r="A27" s="123"/>
      <c r="B27" s="124"/>
      <c r="C27" s="125"/>
      <c r="D27" s="124"/>
      <c r="E27" s="124"/>
      <c r="F27" s="124"/>
      <c r="G27" s="126"/>
      <c r="H27" s="10"/>
    </row>
    <row r="28" spans="1:9" s="1" customFormat="1" ht="18.75" x14ac:dyDescent="0.25">
      <c r="A28" s="127" t="s">
        <v>88</v>
      </c>
      <c r="B28" s="128"/>
      <c r="C28" s="128"/>
      <c r="D28" s="128"/>
      <c r="E28" s="128"/>
      <c r="F28" s="128"/>
      <c r="G28" s="129"/>
    </row>
    <row r="29" spans="1:9" s="1" customFormat="1" ht="40.5" customHeight="1" x14ac:dyDescent="0.25">
      <c r="A29" s="49" t="s">
        <v>36</v>
      </c>
      <c r="B29" s="49" t="s">
        <v>37</v>
      </c>
      <c r="C29" s="49" t="s">
        <v>38</v>
      </c>
      <c r="D29" s="130" t="s">
        <v>39</v>
      </c>
      <c r="E29" s="130"/>
      <c r="F29" s="130"/>
      <c r="G29" s="130"/>
    </row>
    <row r="30" spans="1:9" s="16" customFormat="1" x14ac:dyDescent="0.25">
      <c r="A30" s="22">
        <f>IF(C5="A",B48,IF(C5="B",B49,IF(C5="C",B50,IF(C5="D",B51, IF(C5="E", C13)))))</f>
        <v>1.78</v>
      </c>
      <c r="B30" s="14">
        <f>IF(C5="A",C48,IF(C5="B",C48,IF(C5="C",C48,IF(C5="D",C48, IF(C5="E", C14)))))</f>
        <v>160</v>
      </c>
      <c r="C30" s="15">
        <f>IF(C5="A",D48,IF(C5="B",D49,IF(C5="C",D50,IF(C5="D",D51, IF(C5="E", C15)))))</f>
        <v>1.17</v>
      </c>
      <c r="D30" s="131">
        <f>C30*B30</f>
        <v>187.2</v>
      </c>
      <c r="E30" s="131"/>
      <c r="F30" s="131"/>
      <c r="G30" s="131"/>
    </row>
    <row r="31" spans="1:9" s="16" customFormat="1" x14ac:dyDescent="0.25">
      <c r="A31" s="114"/>
      <c r="B31" s="115"/>
      <c r="C31" s="115"/>
      <c r="D31" s="115"/>
      <c r="E31" s="115"/>
      <c r="F31" s="115"/>
      <c r="G31" s="116"/>
    </row>
    <row r="32" spans="1:9" s="16" customFormat="1" ht="18.75" x14ac:dyDescent="0.25">
      <c r="A32" s="117" t="s">
        <v>89</v>
      </c>
      <c r="B32" s="118"/>
      <c r="C32" s="118"/>
      <c r="D32" s="118"/>
      <c r="E32" s="118"/>
      <c r="F32" s="118"/>
      <c r="G32" s="119"/>
    </row>
    <row r="33" spans="1:10" s="16" customFormat="1" ht="15.75" x14ac:dyDescent="0.25">
      <c r="A33" s="120" t="str">
        <f>IF(C6="A","Value of cow in September",IF(C6="B","Value of cow in October",IF(C6="C","Value of cow in November")))</f>
        <v>Value of cow in October</v>
      </c>
      <c r="B33" s="120"/>
      <c r="C33" s="121" t="str">
        <f>IF(C7="A","Value of cow in February",IF(C7="B","Value of cow in March",IF(C7="C","Value of Cow in April",IF(C7="D","Value of cow in May."))))</f>
        <v>Value of cow in March</v>
      </c>
      <c r="D33" s="121"/>
      <c r="E33" s="120" t="s">
        <v>40</v>
      </c>
      <c r="F33" s="120"/>
      <c r="G33" s="120"/>
      <c r="H33" s="17"/>
      <c r="I33" s="17"/>
      <c r="J33" s="17"/>
    </row>
    <row r="34" spans="1:10" s="1" customFormat="1" ht="15.75" thickBot="1" x14ac:dyDescent="0.3">
      <c r="A34" s="122">
        <f>IF(C6="A",G56,IF(C6="B",G57,IF(C6="C",G58)))</f>
        <v>1160.9958438598148</v>
      </c>
      <c r="B34" s="122"/>
      <c r="C34" s="122">
        <f>IF(C7="A",G61,IF(C7="B",G62,IF(C7="C",G63,IF(C7="D",G64))))</f>
        <v>1330.4355761537443</v>
      </c>
      <c r="D34" s="122"/>
      <c r="E34" s="122">
        <f>C34-A34</f>
        <v>169.43973229392941</v>
      </c>
      <c r="F34" s="122"/>
      <c r="G34" s="122"/>
      <c r="H34" s="10"/>
      <c r="I34" s="10"/>
      <c r="J34" s="10"/>
    </row>
    <row r="35" spans="1:10" s="1" customFormat="1" ht="18.75" x14ac:dyDescent="0.25">
      <c r="A35" s="140" t="s">
        <v>90</v>
      </c>
      <c r="B35" s="141"/>
      <c r="C35" s="141"/>
      <c r="D35" s="141"/>
      <c r="E35" s="141"/>
      <c r="F35" s="141"/>
      <c r="G35" s="142"/>
    </row>
    <row r="36" spans="1:10" s="1" customFormat="1" ht="20.100000000000001" customHeight="1" x14ac:dyDescent="0.25">
      <c r="A36" s="121" t="str">
        <f>IF(C22="January","Value of separately fed cow in January",IF(C22="February","Value of separately fed cow in February",IF(C22="March","Value of separately fed Cow in March",IF(C22="April","Value of cow in April",IF(C22="May","Value of separately fed cow in May",IF(C22="June","Value of separately fed cow in June",IF(C22="July","Value of separately fed cow in July",IF(C22="August","Value of separately fed cow in August",IF(C22="September","Value of separately fed cow in September",IF(C22="October","Value of separately fed cow in October",IF(C22="November","Value of separately fed cow in November",IF(C22="December","Value of separately fed cow in December"))))))))))))</f>
        <v>Value of separately fed Cow in March</v>
      </c>
      <c r="B36" s="121"/>
      <c r="C36" s="121" t="str">
        <f>IF(C7="A","Value of cow in February",IF(C7="B","Value of cow in March",IF(C7="C","Value of Cow in April",IF(C7="D","Value of cow in May."))))</f>
        <v>Value of cow in March</v>
      </c>
      <c r="D36" s="121"/>
      <c r="E36" s="120" t="s">
        <v>40</v>
      </c>
      <c r="F36" s="120"/>
      <c r="G36" s="120"/>
    </row>
    <row r="37" spans="1:10" s="1" customFormat="1" ht="20.100000000000001" customHeight="1" x14ac:dyDescent="0.25">
      <c r="A37" s="143">
        <f>C23*A90</f>
        <v>1388.5845397162318</v>
      </c>
      <c r="B37" s="143"/>
      <c r="C37" s="143">
        <f>IF(C7="A",G61,IF(C7="B",G62,IF(C7="C",G63,IF(C7="D",G64))))</f>
        <v>1330.4355761537443</v>
      </c>
      <c r="D37" s="143"/>
      <c r="E37" s="143">
        <f>A37-C37</f>
        <v>58.148963562487552</v>
      </c>
      <c r="F37" s="143"/>
      <c r="G37" s="143"/>
    </row>
    <row r="38" spans="1:10" s="1" customFormat="1" ht="20.100000000000001" customHeight="1" x14ac:dyDescent="0.25">
      <c r="A38" s="18"/>
      <c r="B38" s="18"/>
      <c r="C38" s="18"/>
      <c r="D38" s="18"/>
      <c r="E38" s="18"/>
      <c r="F38" s="18"/>
      <c r="G38" s="18"/>
    </row>
    <row r="39" spans="1:10" s="1" customFormat="1" ht="20.100000000000001" customHeight="1" thickBot="1" x14ac:dyDescent="0.3">
      <c r="A39" s="132" t="s">
        <v>41</v>
      </c>
      <c r="B39" s="96"/>
      <c r="C39" s="96"/>
      <c r="D39" s="96"/>
      <c r="E39" s="96"/>
      <c r="F39" s="96"/>
      <c r="G39" s="97"/>
    </row>
    <row r="40" spans="1:10" s="1" customFormat="1" ht="20.100000000000001" customHeight="1" x14ac:dyDescent="0.25">
      <c r="A40" s="133" t="s">
        <v>93</v>
      </c>
      <c r="B40" s="134"/>
      <c r="C40" s="135" t="s">
        <v>94</v>
      </c>
      <c r="D40" s="136"/>
      <c r="E40" s="137" t="s">
        <v>95</v>
      </c>
      <c r="F40" s="137"/>
      <c r="G40" s="138"/>
    </row>
    <row r="41" spans="1:10" s="1" customFormat="1" ht="20.100000000000001" customHeight="1" x14ac:dyDescent="0.25">
      <c r="A41" s="19">
        <v>0</v>
      </c>
      <c r="B41" s="53" t="s">
        <v>42</v>
      </c>
      <c r="C41" s="19">
        <f>(((A30*B30)-(E34))*C71)-A71</f>
        <v>4.5127406133674368</v>
      </c>
      <c r="D41" s="53" t="s">
        <v>42</v>
      </c>
      <c r="E41" s="19">
        <f>IF(ISBLANK(C24),"N/A",(((A30*B30)+(E37)-(C25*C24))*C71)-A71)</f>
        <v>11.257070194311542</v>
      </c>
      <c r="F41" s="139" t="s">
        <v>42</v>
      </c>
      <c r="G41" s="139"/>
    </row>
    <row r="42" spans="1:10" s="20" customFormat="1" ht="18.75" x14ac:dyDescent="0.25">
      <c r="A42" s="19">
        <f>A41*C4</f>
        <v>0</v>
      </c>
      <c r="B42" s="53" t="s">
        <v>43</v>
      </c>
      <c r="C42" s="19">
        <f>C41*C4</f>
        <v>451.27406133674367</v>
      </c>
      <c r="D42" s="53" t="s">
        <v>43</v>
      </c>
      <c r="E42" s="19">
        <f>IF(ISBLANK(C24), "N/A",E41*C4)</f>
        <v>1125.7070194311541</v>
      </c>
      <c r="F42" s="139" t="s">
        <v>43</v>
      </c>
      <c r="G42" s="139"/>
    </row>
    <row r="43" spans="1:10" s="1" customFormat="1" x14ac:dyDescent="0.25">
      <c r="A43" s="158"/>
      <c r="B43" s="158"/>
      <c r="C43" s="158"/>
      <c r="D43" s="158"/>
      <c r="E43" s="158"/>
      <c r="F43" s="158"/>
      <c r="G43" s="158"/>
    </row>
    <row r="44" spans="1:10" s="1" customFormat="1" ht="15.75" thickBot="1" x14ac:dyDescent="0.3">
      <c r="A44" s="158"/>
      <c r="B44" s="158"/>
      <c r="C44" s="158"/>
      <c r="D44" s="158"/>
      <c r="E44" s="158"/>
      <c r="F44" s="158"/>
      <c r="G44" s="158"/>
    </row>
    <row r="45" spans="1:10" s="1" customFormat="1" ht="18.75" x14ac:dyDescent="0.25">
      <c r="A45" s="159" t="s">
        <v>44</v>
      </c>
      <c r="B45" s="160"/>
      <c r="C45" s="160"/>
      <c r="D45" s="160"/>
      <c r="E45" s="160"/>
      <c r="F45" s="160"/>
      <c r="G45" s="161"/>
    </row>
    <row r="46" spans="1:10" s="1" customFormat="1" ht="18.75" x14ac:dyDescent="0.25">
      <c r="A46" s="162" t="s">
        <v>45</v>
      </c>
      <c r="B46" s="128"/>
      <c r="C46" s="128"/>
      <c r="D46" s="128"/>
      <c r="E46" s="128"/>
      <c r="F46" s="128"/>
      <c r="G46" s="163"/>
    </row>
    <row r="47" spans="1:10" s="16" customFormat="1" ht="31.5" x14ac:dyDescent="0.25">
      <c r="A47" s="13" t="s">
        <v>6</v>
      </c>
      <c r="B47" s="49" t="s">
        <v>16</v>
      </c>
      <c r="C47" s="49" t="s">
        <v>37</v>
      </c>
      <c r="D47" s="49" t="s">
        <v>20</v>
      </c>
      <c r="E47" s="49" t="s">
        <v>46</v>
      </c>
      <c r="F47" s="49" t="s">
        <v>47</v>
      </c>
      <c r="G47" s="50" t="s">
        <v>48</v>
      </c>
    </row>
    <row r="48" spans="1:10" s="1" customFormat="1" x14ac:dyDescent="0.25">
      <c r="A48" s="21" t="s">
        <v>49</v>
      </c>
      <c r="B48" s="22">
        <v>1.78</v>
      </c>
      <c r="C48" s="164">
        <v>160</v>
      </c>
      <c r="D48" s="15">
        <v>1.44</v>
      </c>
      <c r="E48" s="46">
        <f>D48*$C$48</f>
        <v>230.39999999999998</v>
      </c>
      <c r="F48" s="166">
        <v>4.37</v>
      </c>
      <c r="G48" s="167">
        <v>7.6999999999999999E-2</v>
      </c>
    </row>
    <row r="49" spans="1:7" s="1" customFormat="1" ht="20.100000000000001" customHeight="1" x14ac:dyDescent="0.25">
      <c r="A49" s="21" t="s">
        <v>50</v>
      </c>
      <c r="B49" s="15">
        <v>1.2166666666666668</v>
      </c>
      <c r="C49" s="165"/>
      <c r="D49" s="15">
        <v>0.57750000000000001</v>
      </c>
      <c r="E49" s="46">
        <f t="shared" ref="E49:E51" si="0">D49*$C$48</f>
        <v>92.4</v>
      </c>
      <c r="F49" s="166"/>
      <c r="G49" s="167"/>
    </row>
    <row r="50" spans="1:7" s="20" customFormat="1" ht="15.75" x14ac:dyDescent="0.25">
      <c r="A50" s="21" t="s">
        <v>51</v>
      </c>
      <c r="B50" s="15">
        <v>0.98</v>
      </c>
      <c r="C50" s="165"/>
      <c r="D50" s="15">
        <v>0.88</v>
      </c>
      <c r="E50" s="46">
        <f t="shared" si="0"/>
        <v>140.80000000000001</v>
      </c>
      <c r="F50" s="166"/>
      <c r="G50" s="167"/>
    </row>
    <row r="51" spans="1:7" s="1" customFormat="1" x14ac:dyDescent="0.25">
      <c r="A51" s="21" t="s">
        <v>52</v>
      </c>
      <c r="B51" s="23">
        <v>1.78</v>
      </c>
      <c r="C51" s="165"/>
      <c r="D51" s="23">
        <v>1.17</v>
      </c>
      <c r="E51" s="46">
        <f t="shared" si="0"/>
        <v>187.2</v>
      </c>
      <c r="F51" s="166"/>
      <c r="G51" s="167"/>
    </row>
    <row r="52" spans="1:7" s="1" customFormat="1" ht="30" x14ac:dyDescent="0.25">
      <c r="A52" s="24" t="s">
        <v>53</v>
      </c>
      <c r="B52" s="25">
        <f>C13</f>
        <v>1.78</v>
      </c>
      <c r="C52" s="26">
        <f>C14</f>
        <v>160</v>
      </c>
      <c r="D52" s="25">
        <f>C15</f>
        <v>1.17</v>
      </c>
      <c r="E52" s="26">
        <f>D52*C52</f>
        <v>187.2</v>
      </c>
      <c r="F52" s="27">
        <f>C16</f>
        <v>4.37</v>
      </c>
      <c r="G52" s="28">
        <f>C17</f>
        <v>7.6999999999999999E-2</v>
      </c>
    </row>
    <row r="53" spans="1:7" s="1" customFormat="1" x14ac:dyDescent="0.25">
      <c r="A53" s="144"/>
      <c r="B53" s="145"/>
      <c r="C53" s="145"/>
      <c r="D53" s="145"/>
      <c r="E53" s="145"/>
      <c r="F53" s="145"/>
      <c r="G53" s="146"/>
    </row>
    <row r="54" spans="1:7" s="1" customFormat="1" ht="18.75" x14ac:dyDescent="0.25">
      <c r="A54" s="147" t="s">
        <v>54</v>
      </c>
      <c r="B54" s="148"/>
      <c r="C54" s="148"/>
      <c r="D54" s="148"/>
      <c r="E54" s="148"/>
      <c r="F54" s="148"/>
      <c r="G54" s="149"/>
    </row>
    <row r="55" spans="1:7" s="1" customFormat="1" ht="47.25" x14ac:dyDescent="0.25">
      <c r="A55" s="13" t="s">
        <v>55</v>
      </c>
      <c r="B55" s="49" t="s">
        <v>56</v>
      </c>
      <c r="C55" s="49" t="s">
        <v>57</v>
      </c>
      <c r="D55" s="49" t="s">
        <v>58</v>
      </c>
      <c r="E55" s="49" t="s">
        <v>59</v>
      </c>
      <c r="F55" s="49" t="s">
        <v>60</v>
      </c>
      <c r="G55" s="50" t="s">
        <v>61</v>
      </c>
    </row>
    <row r="56" spans="1:7" s="1" customFormat="1" x14ac:dyDescent="0.25">
      <c r="A56" s="21" t="s">
        <v>62</v>
      </c>
      <c r="B56" s="29">
        <v>0.60019999999999996</v>
      </c>
      <c r="C56" s="30">
        <f>C8</f>
        <v>0.85</v>
      </c>
      <c r="D56" s="31">
        <f>$D$57*(1+E75)</f>
        <v>0.88466185564507438</v>
      </c>
      <c r="E56" s="31">
        <f>$E$58*(1+F75)</f>
        <v>0.93084307616514839</v>
      </c>
      <c r="F56" s="150">
        <f>688/0.53</f>
        <v>1298.1132075471698</v>
      </c>
      <c r="G56" s="32">
        <f>IF($C$9="A", C56*F56, IF($C$9="B", D56*F56, IF($C$9="C", F56*E56)))</f>
        <v>1208.3396913238153</v>
      </c>
    </row>
    <row r="57" spans="1:7" s="1" customFormat="1" x14ac:dyDescent="0.25">
      <c r="A57" s="21" t="s">
        <v>63</v>
      </c>
      <c r="B57" s="29">
        <v>0.57669999999999999</v>
      </c>
      <c r="C57" s="29">
        <f t="shared" ref="C57:C67" si="1">$C$56*(1+D76)</f>
        <v>0.81669622736607095</v>
      </c>
      <c r="D57" s="30">
        <f>C8</f>
        <v>0.85</v>
      </c>
      <c r="E57" s="31">
        <f>$E$58*(1+F76)</f>
        <v>0.89437179832224112</v>
      </c>
      <c r="F57" s="151"/>
      <c r="G57" s="32">
        <f>IF($C$9="A", C57*F56, IF($C$9="B", D57*F56, IF($C$9="C", F56*E57)))</f>
        <v>1160.9958438598148</v>
      </c>
    </row>
    <row r="58" spans="1:7" s="1" customFormat="1" x14ac:dyDescent="0.25">
      <c r="A58" s="21" t="s">
        <v>64</v>
      </c>
      <c r="B58" s="29">
        <v>0.54810000000000003</v>
      </c>
      <c r="C58" s="29">
        <f t="shared" si="1"/>
        <v>0.77617808898200946</v>
      </c>
      <c r="D58" s="29">
        <f t="shared" ref="D58:D67" si="2">$D$57*(1+E77)</f>
        <v>0.8078295864822026</v>
      </c>
      <c r="E58" s="30">
        <f>C8</f>
        <v>0.85</v>
      </c>
      <c r="F58" s="152"/>
      <c r="G58" s="32">
        <f>IF($C$9="A", C58*F56, IF($C$9="B", D58*F56, IF($C$9="C", F56*E58)))</f>
        <v>1103.3962264150944</v>
      </c>
    </row>
    <row r="59" spans="1:7" s="1" customFormat="1" ht="20.100000000000001" customHeight="1" x14ac:dyDescent="0.25">
      <c r="A59" s="21" t="s">
        <v>65</v>
      </c>
      <c r="B59" s="29">
        <f>C78/100</f>
        <v>0.55349302325581395</v>
      </c>
      <c r="C59" s="29">
        <f t="shared" si="1"/>
        <v>0.78388321749389445</v>
      </c>
      <c r="D59" s="29">
        <f t="shared" si="2"/>
        <v>0.81584891976138851</v>
      </c>
      <c r="E59" s="29">
        <f t="shared" ref="E59:E67" si="3">$E$58*(1+F78)</f>
        <v>0.858437959442648</v>
      </c>
      <c r="F59" s="45"/>
      <c r="G59" s="32"/>
    </row>
    <row r="60" spans="1:7" s="3" customFormat="1" ht="15.75" x14ac:dyDescent="0.25">
      <c r="A60" s="21" t="s">
        <v>66</v>
      </c>
      <c r="B60" s="29">
        <f>C79/100</f>
        <v>0.4716499999999999</v>
      </c>
      <c r="C60" s="29">
        <f t="shared" si="1"/>
        <v>0.66797322458772601</v>
      </c>
      <c r="D60" s="29">
        <f t="shared" si="2"/>
        <v>0.69521227339411973</v>
      </c>
      <c r="E60" s="29">
        <f t="shared" si="3"/>
        <v>0.73150382490728516</v>
      </c>
      <c r="F60" s="45"/>
      <c r="G60" s="32"/>
    </row>
    <row r="61" spans="1:7" s="1" customFormat="1" x14ac:dyDescent="0.25">
      <c r="A61" s="21" t="s">
        <v>67</v>
      </c>
      <c r="B61" s="29">
        <v>0.52410000000000001</v>
      </c>
      <c r="C61" s="29">
        <f t="shared" si="1"/>
        <v>0.74223771300990138</v>
      </c>
      <c r="D61" s="29">
        <f t="shared" si="2"/>
        <v>0.77250516767187716</v>
      </c>
      <c r="E61" s="29">
        <f t="shared" si="3"/>
        <v>0.81283157179284837</v>
      </c>
      <c r="F61" s="150">
        <f>1298+($C$30*$B$30)</f>
        <v>1485.2</v>
      </c>
      <c r="G61" s="32">
        <f t="shared" ref="G61" si="4">IF($C$9="A", C61*F61, IF($C$9="B", D61*F61, IF($C$9="C", F61*E61)))</f>
        <v>1207.2174504267384</v>
      </c>
    </row>
    <row r="62" spans="1:7" s="1" customFormat="1" x14ac:dyDescent="0.25">
      <c r="A62" s="21" t="s">
        <v>68</v>
      </c>
      <c r="B62" s="29">
        <v>0.5776</v>
      </c>
      <c r="C62" s="29">
        <f t="shared" si="1"/>
        <v>0.81799634274860344</v>
      </c>
      <c r="D62" s="29">
        <f t="shared" si="2"/>
        <v>0.85135313233748688</v>
      </c>
      <c r="E62" s="29">
        <f t="shared" si="3"/>
        <v>0.89579556703053076</v>
      </c>
      <c r="F62" s="151"/>
      <c r="G62" s="32">
        <f>IF($C$9="A", C62*F61, IF($C$9="B", D62*F61, IF($C$9="C", F61*E62)))</f>
        <v>1330.4355761537443</v>
      </c>
    </row>
    <row r="63" spans="1:7" s="1" customFormat="1" ht="20.100000000000001" customHeight="1" x14ac:dyDescent="0.25">
      <c r="A63" s="21" t="s">
        <v>69</v>
      </c>
      <c r="B63" s="29">
        <v>0.60419999999999996</v>
      </c>
      <c r="C63" s="29">
        <f t="shared" si="1"/>
        <v>0.85576058749286665</v>
      </c>
      <c r="D63" s="29">
        <f t="shared" si="2"/>
        <v>0.89065735214042174</v>
      </c>
      <c r="E63" s="29">
        <f t="shared" si="3"/>
        <v>0.93715155026206431</v>
      </c>
      <c r="F63" s="151"/>
      <c r="G63" s="32">
        <f>IF($C$9="A", C63*F61, IF($C$9="B", D63*F61, IF($C$9="C", F61*E63)))</f>
        <v>1391.857482449218</v>
      </c>
    </row>
    <row r="64" spans="1:7" s="1" customFormat="1" ht="20.100000000000001" customHeight="1" x14ac:dyDescent="0.25">
      <c r="A64" s="21" t="s">
        <v>70</v>
      </c>
      <c r="B64" s="29">
        <v>0.60429999999999995</v>
      </c>
      <c r="C64" s="29">
        <f t="shared" si="1"/>
        <v>0.85577474996980063</v>
      </c>
      <c r="D64" s="29">
        <f t="shared" si="2"/>
        <v>0.89067209214409815</v>
      </c>
      <c r="E64" s="29">
        <f t="shared" si="3"/>
        <v>0.93716705972511749</v>
      </c>
      <c r="F64" s="152"/>
      <c r="G64" s="32">
        <f>IF($C$9="A", C64*F61, IF($C$9="B", D64*F61, IF($C$9="C", F61*E64)))</f>
        <v>1391.8805171037445</v>
      </c>
    </row>
    <row r="65" spans="1:7" s="1" customFormat="1" ht="20.100000000000001" customHeight="1" x14ac:dyDescent="0.25">
      <c r="A65" s="33" t="s">
        <v>71</v>
      </c>
      <c r="B65" s="29">
        <f>C84/100</f>
        <v>0.59196750000000009</v>
      </c>
      <c r="C65" s="29">
        <f t="shared" si="1"/>
        <v>0.83837260643726241</v>
      </c>
      <c r="D65" s="29">
        <f t="shared" si="2"/>
        <v>0.87256031262680733</v>
      </c>
      <c r="E65" s="29">
        <f t="shared" si="3"/>
        <v>0.91810980699841716</v>
      </c>
      <c r="F65" s="45"/>
      <c r="G65" s="34"/>
    </row>
    <row r="66" spans="1:7" s="12" customFormat="1" ht="15.75" x14ac:dyDescent="0.25">
      <c r="A66" s="33" t="s">
        <v>72</v>
      </c>
      <c r="B66" s="29">
        <f>C85/100</f>
        <v>0.60903200000000002</v>
      </c>
      <c r="C66" s="29">
        <f t="shared" si="1"/>
        <v>0.86254016520112797</v>
      </c>
      <c r="D66" s="29">
        <f t="shared" si="2"/>
        <v>0.8977133919002811</v>
      </c>
      <c r="E66" s="29">
        <f t="shared" si="3"/>
        <v>0.94457593022566255</v>
      </c>
      <c r="F66" s="45"/>
      <c r="G66" s="34"/>
    </row>
    <row r="67" spans="1:7" s="1" customFormat="1" x14ac:dyDescent="0.25">
      <c r="A67" s="33" t="s">
        <v>73</v>
      </c>
      <c r="B67" s="29">
        <f>C86/100</f>
        <v>0.63457250000000009</v>
      </c>
      <c r="C67" s="29">
        <f t="shared" si="1"/>
        <v>0.89871183941417343</v>
      </c>
      <c r="D67" s="29">
        <f t="shared" si="2"/>
        <v>0.9353600982898127</v>
      </c>
      <c r="E67" s="29">
        <f t="shared" si="3"/>
        <v>0.98418787433685639</v>
      </c>
      <c r="F67" s="45"/>
      <c r="G67" s="34"/>
    </row>
    <row r="68" spans="1:7" s="1" customFormat="1" x14ac:dyDescent="0.25">
      <c r="A68" s="153"/>
      <c r="B68" s="115"/>
      <c r="C68" s="115"/>
      <c r="D68" s="115"/>
      <c r="E68" s="115"/>
      <c r="F68" s="115"/>
      <c r="G68" s="154"/>
    </row>
    <row r="69" spans="1:7" s="1" customFormat="1" ht="18.75" x14ac:dyDescent="0.25">
      <c r="A69" s="155" t="s">
        <v>74</v>
      </c>
      <c r="B69" s="156"/>
      <c r="C69" s="156"/>
      <c r="D69" s="156"/>
      <c r="E69" s="156"/>
      <c r="F69" s="156"/>
      <c r="G69" s="157"/>
    </row>
    <row r="70" spans="1:7" s="1" customFormat="1" ht="15.75" x14ac:dyDescent="0.25">
      <c r="A70" s="176" t="s">
        <v>75</v>
      </c>
      <c r="B70" s="103"/>
      <c r="C70" s="103" t="s">
        <v>76</v>
      </c>
      <c r="D70" s="103"/>
      <c r="E70" s="103"/>
      <c r="F70" s="103"/>
      <c r="G70" s="177"/>
    </row>
    <row r="71" spans="1:7" s="1" customFormat="1" x14ac:dyDescent="0.25">
      <c r="A71" s="178">
        <f>IF(C5="A",F48,IF(C5="B",F48,IF(C5="C",F48,IF(C5="D",F48, IF(C5="E", C16)))))</f>
        <v>4.37</v>
      </c>
      <c r="B71" s="179"/>
      <c r="C71" s="180">
        <f>IF(C5="A",G48,IF(C5="B",G48,IF(C5="C",G48,IF(C5="D",G48, IF(C5="E", C17)))))</f>
        <v>7.6999999999999999E-2</v>
      </c>
      <c r="D71" s="180"/>
      <c r="E71" s="180"/>
      <c r="F71" s="180"/>
      <c r="G71" s="181"/>
    </row>
    <row r="72" spans="1:7" s="1" customFormat="1" x14ac:dyDescent="0.25">
      <c r="A72" s="182"/>
      <c r="B72" s="183"/>
      <c r="C72" s="183"/>
      <c r="D72" s="183"/>
      <c r="E72" s="183"/>
      <c r="F72" s="183"/>
      <c r="G72" s="184"/>
    </row>
    <row r="73" spans="1:7" s="1" customFormat="1" ht="18.75" x14ac:dyDescent="0.25">
      <c r="A73" s="185" t="s">
        <v>77</v>
      </c>
      <c r="B73" s="186"/>
      <c r="C73" s="186"/>
      <c r="D73" s="186"/>
      <c r="E73" s="186"/>
      <c r="F73" s="186"/>
      <c r="G73" s="187"/>
    </row>
    <row r="74" spans="1:7" s="1" customFormat="1" ht="31.5" x14ac:dyDescent="0.25">
      <c r="A74" s="35" t="s">
        <v>55</v>
      </c>
      <c r="B74" s="36"/>
      <c r="C74" s="49" t="s">
        <v>78</v>
      </c>
      <c r="D74" s="49" t="s">
        <v>79</v>
      </c>
      <c r="E74" s="49" t="s">
        <v>80</v>
      </c>
      <c r="F74" s="130" t="s">
        <v>81</v>
      </c>
      <c r="G74" s="168"/>
    </row>
    <row r="75" spans="1:7" s="1" customFormat="1" x14ac:dyDescent="0.25">
      <c r="A75" s="169" t="s">
        <v>62</v>
      </c>
      <c r="B75" s="93"/>
      <c r="C75" s="34">
        <v>60.017749999999999</v>
      </c>
      <c r="D75" s="52">
        <v>0</v>
      </c>
      <c r="E75" s="51">
        <v>4.0778653700087548E-2</v>
      </c>
      <c r="F75" s="196">
        <v>9.5109501370762808E-2</v>
      </c>
      <c r="G75" s="197"/>
    </row>
    <row r="76" spans="1:7" s="1" customFormat="1" x14ac:dyDescent="0.25">
      <c r="A76" s="169" t="s">
        <v>63</v>
      </c>
      <c r="B76" s="93"/>
      <c r="C76" s="34">
        <v>57.666200000000011</v>
      </c>
      <c r="D76" s="51">
        <v>-3.9180908981092909E-2</v>
      </c>
      <c r="E76" s="52">
        <v>0</v>
      </c>
      <c r="F76" s="196">
        <v>5.2202115673224914E-2</v>
      </c>
      <c r="G76" s="197"/>
    </row>
    <row r="77" spans="1:7" s="1" customFormat="1" x14ac:dyDescent="0.25">
      <c r="A77" s="172" t="s">
        <v>64</v>
      </c>
      <c r="B77" s="173"/>
      <c r="C77" s="37">
        <v>54.805250000000001</v>
      </c>
      <c r="D77" s="47">
        <v>-8.6849307079988808E-2</v>
      </c>
      <c r="E77" s="47">
        <v>-4.961225119740869E-2</v>
      </c>
      <c r="F77" s="198">
        <v>0</v>
      </c>
      <c r="G77" s="199"/>
    </row>
    <row r="78" spans="1:7" s="1" customFormat="1" x14ac:dyDescent="0.25">
      <c r="A78" s="172" t="s">
        <v>65</v>
      </c>
      <c r="B78" s="173"/>
      <c r="C78" s="37">
        <v>55.349302325581398</v>
      </c>
      <c r="D78" s="47">
        <v>-7.7784450007182898E-2</v>
      </c>
      <c r="E78" s="47">
        <v>-4.0177741457190039E-2</v>
      </c>
      <c r="F78" s="200">
        <v>9.9270111089977166E-3</v>
      </c>
      <c r="G78" s="201"/>
    </row>
    <row r="79" spans="1:7" s="1" customFormat="1" x14ac:dyDescent="0.25">
      <c r="A79" s="172" t="s">
        <v>66</v>
      </c>
      <c r="B79" s="173"/>
      <c r="C79" s="37">
        <v>47.164999999999992</v>
      </c>
      <c r="D79" s="47">
        <v>-0.21414914754385173</v>
      </c>
      <c r="E79" s="47">
        <v>-0.18210320777162387</v>
      </c>
      <c r="F79" s="200">
        <v>-0.13940726481495858</v>
      </c>
      <c r="G79" s="201"/>
    </row>
    <row r="80" spans="1:7" s="1" customFormat="1" x14ac:dyDescent="0.25">
      <c r="A80" s="172" t="s">
        <v>67</v>
      </c>
      <c r="B80" s="173"/>
      <c r="C80" s="37">
        <v>52.408750000000012</v>
      </c>
      <c r="D80" s="47">
        <v>-0.12677916116482188</v>
      </c>
      <c r="E80" s="47">
        <v>-9.1170390974262175E-2</v>
      </c>
      <c r="F80" s="200">
        <v>-4.3727562596648839E-2</v>
      </c>
      <c r="G80" s="201"/>
    </row>
    <row r="81" spans="1:7" s="1" customFormat="1" x14ac:dyDescent="0.25">
      <c r="A81" s="172" t="s">
        <v>68</v>
      </c>
      <c r="B81" s="173"/>
      <c r="C81" s="37">
        <v>57.757999999999996</v>
      </c>
      <c r="D81" s="47">
        <v>-3.76513614722312E-2</v>
      </c>
      <c r="E81" s="47">
        <v>1.5919203970434152E-3</v>
      </c>
      <c r="F81" s="200">
        <v>5.3877137682977354E-2</v>
      </c>
      <c r="G81" s="201"/>
    </row>
    <row r="82" spans="1:7" s="1" customFormat="1" x14ac:dyDescent="0.25">
      <c r="A82" s="172" t="s">
        <v>69</v>
      </c>
      <c r="B82" s="173"/>
      <c r="C82" s="37">
        <v>60.424500000000002</v>
      </c>
      <c r="D82" s="47">
        <v>6.7771617563137966E-3</v>
      </c>
      <c r="E82" s="47">
        <v>4.7832178988731544E-2</v>
      </c>
      <c r="F82" s="200">
        <v>0.10253123560242862</v>
      </c>
      <c r="G82" s="201"/>
    </row>
    <row r="83" spans="1:7" s="1" customFormat="1" x14ac:dyDescent="0.25">
      <c r="A83" s="172" t="s">
        <v>70</v>
      </c>
      <c r="B83" s="173"/>
      <c r="C83" s="37">
        <v>60.4255</v>
      </c>
      <c r="D83" s="47">
        <v>6.7938234938830604E-3</v>
      </c>
      <c r="E83" s="47">
        <v>4.7849520169527184E-2</v>
      </c>
      <c r="F83" s="200">
        <v>0.10254948202955007</v>
      </c>
      <c r="G83" s="201"/>
    </row>
    <row r="84" spans="1:7" s="1" customFormat="1" x14ac:dyDescent="0.25">
      <c r="A84" s="172" t="s">
        <v>82</v>
      </c>
      <c r="B84" s="173"/>
      <c r="C84" s="37">
        <v>59.196750000000009</v>
      </c>
      <c r="D84" s="47">
        <v>-1.367928654439713E-2</v>
      </c>
      <c r="E84" s="47">
        <v>2.6541544266832178E-2</v>
      </c>
      <c r="F84" s="200">
        <v>8.0129184704020279E-2</v>
      </c>
      <c r="G84" s="201"/>
    </row>
    <row r="85" spans="1:7" s="1" customFormat="1" x14ac:dyDescent="0.25">
      <c r="A85" s="172" t="s">
        <v>72</v>
      </c>
      <c r="B85" s="173"/>
      <c r="C85" s="37">
        <v>60.903199999999998</v>
      </c>
      <c r="D85" s="47">
        <v>1.4753135530738802E-2</v>
      </c>
      <c r="E85" s="47">
        <v>5.6133402235624803E-2</v>
      </c>
      <c r="F85" s="200">
        <v>0.11126580026548546</v>
      </c>
      <c r="G85" s="201"/>
    </row>
    <row r="86" spans="1:7" s="1" customFormat="1" ht="15.75" thickBot="1" x14ac:dyDescent="0.3">
      <c r="A86" s="192" t="s">
        <v>73</v>
      </c>
      <c r="B86" s="193"/>
      <c r="C86" s="38">
        <v>63.457250000000009</v>
      </c>
      <c r="D86" s="48">
        <v>5.7308046369615812E-2</v>
      </c>
      <c r="E86" s="48">
        <v>0.10042364504683848</v>
      </c>
      <c r="F86" s="202">
        <v>0.15786808745512534</v>
      </c>
      <c r="G86" s="203"/>
    </row>
    <row r="87" spans="1:7" s="1" customFormat="1" x14ac:dyDescent="0.25"/>
    <row r="88" spans="1:7" s="1" customFormat="1" ht="18.75" x14ac:dyDescent="0.25">
      <c r="A88" s="188" t="s">
        <v>83</v>
      </c>
      <c r="B88" s="186"/>
      <c r="C88" s="186"/>
      <c r="D88" s="186"/>
      <c r="E88" s="186"/>
      <c r="F88" s="186"/>
      <c r="G88" s="187"/>
    </row>
    <row r="89" spans="1:7" s="1" customFormat="1" x14ac:dyDescent="0.25">
      <c r="A89" s="189" t="s">
        <v>84</v>
      </c>
      <c r="B89" s="189"/>
      <c r="C89" s="190" t="s">
        <v>85</v>
      </c>
      <c r="D89" s="190"/>
      <c r="E89" s="190" t="s">
        <v>86</v>
      </c>
      <c r="F89" s="190"/>
      <c r="G89" s="190"/>
    </row>
    <row r="90" spans="1:7" s="1" customFormat="1" x14ac:dyDescent="0.25">
      <c r="A90" s="191">
        <f>(F56+(C26*C25))</f>
        <v>1550.1132075471698</v>
      </c>
      <c r="B90" s="191"/>
      <c r="C90" s="179">
        <f>IF(C6="A", 258, IF(C6="B", 288, IF(C6="C",319)))</f>
        <v>288</v>
      </c>
      <c r="D90" s="179"/>
      <c r="E90" s="179">
        <f>C90+C25</f>
        <v>428</v>
      </c>
      <c r="F90" s="179"/>
      <c r="G90" s="179"/>
    </row>
    <row r="91" spans="1:7" s="39" customFormat="1" x14ac:dyDescent="0.2">
      <c r="A91" s="1"/>
      <c r="E91" s="40"/>
      <c r="F91" s="41"/>
      <c r="G91" s="41"/>
    </row>
    <row r="92" spans="1:7" s="39" customFormat="1" x14ac:dyDescent="0.25">
      <c r="A92"/>
      <c r="B92" s="1"/>
      <c r="E92" s="40"/>
      <c r="F92" s="41"/>
      <c r="G92" s="41"/>
    </row>
    <row r="93" spans="1:7" s="39" customFormat="1" x14ac:dyDescent="0.2">
      <c r="A93" s="1"/>
      <c r="B93" s="1"/>
      <c r="C93" s="1"/>
      <c r="D93" s="1"/>
      <c r="E93" s="40"/>
      <c r="F93" s="41"/>
      <c r="G93" s="41"/>
    </row>
    <row r="94" spans="1:7" s="39" customFormat="1" x14ac:dyDescent="0.2">
      <c r="C94" s="1"/>
      <c r="D94" s="1"/>
      <c r="E94" s="40"/>
      <c r="F94" s="41"/>
      <c r="G94" s="41"/>
    </row>
    <row r="95" spans="1:7" s="39" customFormat="1" ht="14.25" x14ac:dyDescent="0.2">
      <c r="E95" s="42"/>
      <c r="F95" s="43"/>
      <c r="G95" s="43"/>
    </row>
    <row r="96" spans="1:7" s="39" customFormat="1" ht="14.25" x14ac:dyDescent="0.2">
      <c r="E96" s="42"/>
      <c r="F96" s="43"/>
      <c r="G96" s="43"/>
    </row>
    <row r="97" spans="1:7" x14ac:dyDescent="0.25">
      <c r="A97" s="39"/>
      <c r="B97" s="39"/>
      <c r="C97" s="39"/>
      <c r="D97" s="39"/>
      <c r="E97" s="42"/>
      <c r="F97" s="44"/>
      <c r="G97" s="44"/>
    </row>
    <row r="98" spans="1:7" x14ac:dyDescent="0.25">
      <c r="A98" s="39"/>
      <c r="B98" s="39"/>
      <c r="C98" s="39"/>
      <c r="D98" s="39"/>
      <c r="E98" s="42"/>
      <c r="F98" s="44"/>
      <c r="G98" s="44"/>
    </row>
    <row r="99" spans="1:7" x14ac:dyDescent="0.25">
      <c r="A99" s="39"/>
      <c r="B99" s="39"/>
      <c r="C99" s="39"/>
      <c r="D99" s="39"/>
      <c r="E99" s="42"/>
      <c r="F99" s="44"/>
      <c r="G99" s="44"/>
    </row>
    <row r="100" spans="1:7" x14ac:dyDescent="0.25">
      <c r="A100" s="39"/>
      <c r="B100" s="39"/>
      <c r="C100" s="39"/>
      <c r="D100" s="39"/>
      <c r="E100" s="42"/>
      <c r="F100" s="44"/>
      <c r="G100" s="44"/>
    </row>
    <row r="101" spans="1:7" x14ac:dyDescent="0.25">
      <c r="C101" s="39"/>
      <c r="D101" s="39"/>
      <c r="E101" s="39"/>
      <c r="F101" s="39"/>
      <c r="G101" s="39"/>
    </row>
    <row r="109" spans="1:7" x14ac:dyDescent="0.25">
      <c r="A109" s="57" t="s">
        <v>91</v>
      </c>
    </row>
  </sheetData>
  <mergeCells count="121">
    <mergeCell ref="A88:G88"/>
    <mergeCell ref="A89:B89"/>
    <mergeCell ref="C89:D89"/>
    <mergeCell ref="E89:G89"/>
    <mergeCell ref="A90:B90"/>
    <mergeCell ref="C90:D90"/>
    <mergeCell ref="E90:G90"/>
    <mergeCell ref="A84:B84"/>
    <mergeCell ref="F84:G84"/>
    <mergeCell ref="A85:B85"/>
    <mergeCell ref="F85:G85"/>
    <mergeCell ref="A86:B86"/>
    <mergeCell ref="F86:G86"/>
    <mergeCell ref="A81:B81"/>
    <mergeCell ref="F81:G81"/>
    <mergeCell ref="A82:B82"/>
    <mergeCell ref="F82:G82"/>
    <mergeCell ref="A83:B83"/>
    <mergeCell ref="F83:G83"/>
    <mergeCell ref="A78:B78"/>
    <mergeCell ref="F78:G78"/>
    <mergeCell ref="A79:B79"/>
    <mergeCell ref="F79:G79"/>
    <mergeCell ref="A80:B80"/>
    <mergeCell ref="F80:G80"/>
    <mergeCell ref="F74:G74"/>
    <mergeCell ref="A75:B75"/>
    <mergeCell ref="F75:G75"/>
    <mergeCell ref="A76:B76"/>
    <mergeCell ref="F76:G76"/>
    <mergeCell ref="A77:B77"/>
    <mergeCell ref="F77:G77"/>
    <mergeCell ref="A70:B70"/>
    <mergeCell ref="C70:G70"/>
    <mergeCell ref="A71:B71"/>
    <mergeCell ref="C71:G71"/>
    <mergeCell ref="A72:G72"/>
    <mergeCell ref="A73:G73"/>
    <mergeCell ref="A53:G53"/>
    <mergeCell ref="A54:G54"/>
    <mergeCell ref="F56:F58"/>
    <mergeCell ref="F61:F64"/>
    <mergeCell ref="A68:G68"/>
    <mergeCell ref="A69:G69"/>
    <mergeCell ref="A43:G44"/>
    <mergeCell ref="A45:G45"/>
    <mergeCell ref="A46:G46"/>
    <mergeCell ref="C48:C51"/>
    <mergeCell ref="F48:F51"/>
    <mergeCell ref="G48:G51"/>
    <mergeCell ref="A39:G39"/>
    <mergeCell ref="A40:B40"/>
    <mergeCell ref="C40:D40"/>
    <mergeCell ref="E40:G40"/>
    <mergeCell ref="F41:G41"/>
    <mergeCell ref="F42:G42"/>
    <mergeCell ref="A35:G35"/>
    <mergeCell ref="A36:B36"/>
    <mergeCell ref="C36:D36"/>
    <mergeCell ref="E36:G36"/>
    <mergeCell ref="A37:B37"/>
    <mergeCell ref="C37:D37"/>
    <mergeCell ref="E37:G37"/>
    <mergeCell ref="A31:G31"/>
    <mergeCell ref="A32:G32"/>
    <mergeCell ref="A33:B33"/>
    <mergeCell ref="C33:D33"/>
    <mergeCell ref="E33:G33"/>
    <mergeCell ref="A34:B34"/>
    <mergeCell ref="C34:D34"/>
    <mergeCell ref="E34:G34"/>
    <mergeCell ref="A26:B26"/>
    <mergeCell ref="D26:G26"/>
    <mergeCell ref="A27:G27"/>
    <mergeCell ref="A28:G28"/>
    <mergeCell ref="D29:G29"/>
    <mergeCell ref="D30:G30"/>
    <mergeCell ref="D22:G22"/>
    <mergeCell ref="D23:G23"/>
    <mergeCell ref="A24:B24"/>
    <mergeCell ref="D24:G24"/>
    <mergeCell ref="A25:B25"/>
    <mergeCell ref="D25:G25"/>
    <mergeCell ref="A18:B18"/>
    <mergeCell ref="C18:G18"/>
    <mergeCell ref="A19:G19"/>
    <mergeCell ref="A20:B20"/>
    <mergeCell ref="D20:G20"/>
    <mergeCell ref="A21:B21"/>
    <mergeCell ref="D21:G21"/>
    <mergeCell ref="A16:B16"/>
    <mergeCell ref="D16:G16"/>
    <mergeCell ref="A17:B17"/>
    <mergeCell ref="D17:G17"/>
    <mergeCell ref="A11:G11"/>
    <mergeCell ref="A12:B12"/>
    <mergeCell ref="D12:G12"/>
    <mergeCell ref="A13:B13"/>
    <mergeCell ref="D13:G13"/>
    <mergeCell ref="A14:B14"/>
    <mergeCell ref="D14:G14"/>
    <mergeCell ref="A10:B10"/>
    <mergeCell ref="C10:G10"/>
    <mergeCell ref="A5:B5"/>
    <mergeCell ref="D5:G5"/>
    <mergeCell ref="A6:B6"/>
    <mergeCell ref="D6:G6"/>
    <mergeCell ref="A7:B7"/>
    <mergeCell ref="D7:G7"/>
    <mergeCell ref="A15:B15"/>
    <mergeCell ref="D15:G15"/>
    <mergeCell ref="A1:G1"/>
    <mergeCell ref="A2:G2"/>
    <mergeCell ref="A3:B3"/>
    <mergeCell ref="D3:G3"/>
    <mergeCell ref="A4:B4"/>
    <mergeCell ref="D4:G4"/>
    <mergeCell ref="A8:B8"/>
    <mergeCell ref="D8:G8"/>
    <mergeCell ref="A9:B9"/>
    <mergeCell ref="D9:G9"/>
  </mergeCells>
  <pageMargins left="0.7" right="0.7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3480B-A240-4DFD-B387-B3952DA3E24D}">
  <dimension ref="A1:J109"/>
  <sheetViews>
    <sheetView workbookViewId="0">
      <selection sqref="A1:G1"/>
    </sheetView>
  </sheetViews>
  <sheetFormatPr defaultColWidth="8.85546875" defaultRowHeight="15" x14ac:dyDescent="0.25"/>
  <cols>
    <col min="1" max="1" width="34.42578125" customWidth="1"/>
    <col min="2" max="2" width="33.42578125" customWidth="1"/>
    <col min="3" max="3" width="33" customWidth="1"/>
    <col min="4" max="4" width="33.28515625" bestFit="1" customWidth="1"/>
    <col min="5" max="5" width="35.42578125" customWidth="1"/>
    <col min="6" max="6" width="15.28515625" customWidth="1"/>
    <col min="7" max="7" width="28.140625" customWidth="1"/>
    <col min="9" max="9" width="10.85546875" bestFit="1" customWidth="1"/>
    <col min="10" max="10" width="15" customWidth="1"/>
  </cols>
  <sheetData>
    <row r="1" spans="1:10" s="1" customFormat="1" ht="20.100000000000001" customHeight="1" x14ac:dyDescent="0.25">
      <c r="A1" s="95" t="s">
        <v>0</v>
      </c>
      <c r="B1" s="96"/>
      <c r="C1" s="96"/>
      <c r="D1" s="96"/>
      <c r="E1" s="96"/>
      <c r="F1" s="96"/>
      <c r="G1" s="97"/>
    </row>
    <row r="2" spans="1:10" s="1" customFormat="1" ht="20.100000000000001" customHeight="1" x14ac:dyDescent="0.25">
      <c r="A2" s="98" t="s">
        <v>1</v>
      </c>
      <c r="B2" s="99"/>
      <c r="C2" s="99"/>
      <c r="D2" s="99"/>
      <c r="E2" s="99"/>
      <c r="F2" s="99"/>
      <c r="G2" s="100"/>
    </row>
    <row r="3" spans="1:10" s="3" customFormat="1" ht="16.5" thickBot="1" x14ac:dyDescent="0.3">
      <c r="A3" s="101" t="s">
        <v>2</v>
      </c>
      <c r="B3" s="102"/>
      <c r="C3" s="2"/>
      <c r="D3" s="103" t="s">
        <v>3</v>
      </c>
      <c r="E3" s="103"/>
      <c r="F3" s="103"/>
      <c r="G3" s="103"/>
    </row>
    <row r="4" spans="1:10" s="1" customFormat="1" ht="15.75" thickTop="1" x14ac:dyDescent="0.25">
      <c r="A4" s="87" t="s">
        <v>4</v>
      </c>
      <c r="B4" s="88"/>
      <c r="C4" s="61">
        <v>100</v>
      </c>
      <c r="D4" s="92" t="s">
        <v>5</v>
      </c>
      <c r="E4" s="93"/>
      <c r="F4" s="93"/>
      <c r="G4" s="93"/>
    </row>
    <row r="5" spans="1:10" s="1" customFormat="1" x14ac:dyDescent="0.25">
      <c r="A5" s="87" t="s">
        <v>6</v>
      </c>
      <c r="B5" s="88"/>
      <c r="C5" s="62" t="s">
        <v>100</v>
      </c>
      <c r="D5" s="92" t="s">
        <v>92</v>
      </c>
      <c r="E5" s="93"/>
      <c r="F5" s="93"/>
      <c r="G5" s="93"/>
    </row>
    <row r="6" spans="1:10" s="1" customFormat="1" x14ac:dyDescent="0.25">
      <c r="A6" s="87" t="s">
        <v>7</v>
      </c>
      <c r="B6" s="88"/>
      <c r="C6" s="62" t="s">
        <v>8</v>
      </c>
      <c r="D6" s="92" t="s">
        <v>9</v>
      </c>
      <c r="E6" s="93"/>
      <c r="F6" s="93"/>
      <c r="G6" s="93"/>
      <c r="I6"/>
    </row>
    <row r="7" spans="1:10" s="1" customFormat="1" x14ac:dyDescent="0.25">
      <c r="A7" s="87" t="s">
        <v>10</v>
      </c>
      <c r="B7" s="88"/>
      <c r="C7" s="63" t="s">
        <v>8</v>
      </c>
      <c r="D7" s="92" t="s">
        <v>11</v>
      </c>
      <c r="E7" s="93"/>
      <c r="F7" s="93"/>
      <c r="G7" s="93"/>
      <c r="I7"/>
    </row>
    <row r="8" spans="1:10" s="1" customFormat="1" x14ac:dyDescent="0.25">
      <c r="A8" s="87" t="s">
        <v>12</v>
      </c>
      <c r="B8" s="88"/>
      <c r="C8" s="64">
        <v>1</v>
      </c>
      <c r="D8" s="92" t="s">
        <v>13</v>
      </c>
      <c r="E8" s="93"/>
      <c r="F8" s="93"/>
      <c r="G8" s="93"/>
      <c r="I8"/>
    </row>
    <row r="9" spans="1:10" s="1" customFormat="1" ht="15.75" thickBot="1" x14ac:dyDescent="0.3">
      <c r="A9" s="87" t="s">
        <v>14</v>
      </c>
      <c r="B9" s="88"/>
      <c r="C9" s="65" t="s">
        <v>98</v>
      </c>
      <c r="D9" s="92" t="s">
        <v>9</v>
      </c>
      <c r="E9" s="93"/>
      <c r="F9" s="93"/>
      <c r="G9" s="93"/>
      <c r="I9"/>
    </row>
    <row r="10" spans="1:10" s="1" customFormat="1" ht="15.75" thickTop="1" x14ac:dyDescent="0.25">
      <c r="A10" s="87"/>
      <c r="B10" s="88"/>
      <c r="C10" s="89"/>
      <c r="D10" s="90"/>
      <c r="E10" s="90"/>
      <c r="F10" s="90"/>
      <c r="G10" s="91"/>
      <c r="I10"/>
    </row>
    <row r="11" spans="1:10" s="1" customFormat="1" ht="20.100000000000001" hidden="1" customHeight="1" x14ac:dyDescent="0.25">
      <c r="A11" s="104" t="s">
        <v>15</v>
      </c>
      <c r="B11" s="105"/>
      <c r="C11" s="105"/>
      <c r="D11" s="105"/>
      <c r="E11" s="105"/>
      <c r="F11" s="105"/>
      <c r="G11" s="106"/>
      <c r="I11"/>
      <c r="J11" s="5"/>
    </row>
    <row r="12" spans="1:10" s="3" customFormat="1" ht="15.75" hidden="1" x14ac:dyDescent="0.25">
      <c r="A12" s="107" t="s">
        <v>2</v>
      </c>
      <c r="B12" s="108"/>
      <c r="C12" s="6"/>
      <c r="D12" s="109" t="s">
        <v>3</v>
      </c>
      <c r="E12" s="109"/>
      <c r="F12" s="109"/>
      <c r="G12" s="109"/>
      <c r="I12"/>
    </row>
    <row r="13" spans="1:10" s="1" customFormat="1" hidden="1" x14ac:dyDescent="0.25">
      <c r="A13" s="87" t="s">
        <v>16</v>
      </c>
      <c r="B13" s="94"/>
      <c r="C13" s="56">
        <f>IF(C5="A",B48,IF(C5="B",B49,IF(C5="C",B50,IF(C5="D",B51))))</f>
        <v>1.78</v>
      </c>
      <c r="D13" s="92" t="s">
        <v>17</v>
      </c>
      <c r="E13" s="93"/>
      <c r="F13" s="93"/>
      <c r="G13" s="93"/>
      <c r="I13"/>
    </row>
    <row r="14" spans="1:10" s="1" customFormat="1" hidden="1" x14ac:dyDescent="0.25">
      <c r="A14" s="87" t="s">
        <v>18</v>
      </c>
      <c r="B14" s="94"/>
      <c r="C14" s="4">
        <v>160</v>
      </c>
      <c r="D14" s="92" t="s">
        <v>19</v>
      </c>
      <c r="E14" s="93"/>
      <c r="F14" s="93"/>
      <c r="G14" s="93"/>
      <c r="I14"/>
    </row>
    <row r="15" spans="1:10" s="1" customFormat="1" hidden="1" x14ac:dyDescent="0.25">
      <c r="A15" s="87" t="s">
        <v>20</v>
      </c>
      <c r="B15" s="94"/>
      <c r="C15" s="56">
        <f>IF(C5="A",D48,IF(C5="B",D49,IF(C5="C",D50,IF(C5="D",D51))))</f>
        <v>1.44</v>
      </c>
      <c r="D15" s="92" t="s">
        <v>21</v>
      </c>
      <c r="E15" s="93"/>
      <c r="F15" s="93"/>
      <c r="G15" s="93"/>
      <c r="I15"/>
    </row>
    <row r="16" spans="1:10" s="1" customFormat="1" hidden="1" x14ac:dyDescent="0.25">
      <c r="A16" s="87" t="s">
        <v>22</v>
      </c>
      <c r="B16" s="94"/>
      <c r="C16" s="7">
        <v>4.37</v>
      </c>
      <c r="D16" s="92" t="s">
        <v>23</v>
      </c>
      <c r="E16" s="93"/>
      <c r="F16" s="93"/>
      <c r="G16" s="93"/>
      <c r="I16"/>
    </row>
    <row r="17" spans="1:9" s="1" customFormat="1" ht="15.75" hidden="1" thickBot="1" x14ac:dyDescent="0.3">
      <c r="A17" s="87" t="s">
        <v>24</v>
      </c>
      <c r="B17" s="94"/>
      <c r="C17" s="8">
        <v>7.6999999999999999E-2</v>
      </c>
      <c r="D17" s="92" t="s">
        <v>25</v>
      </c>
      <c r="E17" s="93"/>
      <c r="F17" s="93"/>
      <c r="G17" s="93"/>
      <c r="I17"/>
    </row>
    <row r="18" spans="1:9" s="1" customFormat="1" ht="15.75" x14ac:dyDescent="0.25">
      <c r="A18" s="87"/>
      <c r="B18" s="88"/>
      <c r="C18" s="89"/>
      <c r="D18" s="90"/>
      <c r="E18" s="90"/>
      <c r="F18" s="90"/>
      <c r="G18" s="91"/>
      <c r="H18" s="9"/>
      <c r="I18"/>
    </row>
    <row r="19" spans="1:9" s="1" customFormat="1" ht="20.100000000000001" customHeight="1" x14ac:dyDescent="0.25">
      <c r="A19" s="104" t="s">
        <v>87</v>
      </c>
      <c r="B19" s="105"/>
      <c r="C19" s="105"/>
      <c r="D19" s="105"/>
      <c r="E19" s="105"/>
      <c r="F19" s="105"/>
      <c r="G19" s="106"/>
      <c r="H19" s="10"/>
      <c r="I19"/>
    </row>
    <row r="20" spans="1:9" s="12" customFormat="1" ht="15.75" x14ac:dyDescent="0.25">
      <c r="A20" s="107" t="s">
        <v>2</v>
      </c>
      <c r="B20" s="108"/>
      <c r="C20" s="6"/>
      <c r="D20" s="109" t="s">
        <v>3</v>
      </c>
      <c r="E20" s="109"/>
      <c r="F20" s="109"/>
      <c r="G20" s="109"/>
      <c r="H20" s="11"/>
    </row>
    <row r="21" spans="1:9" s="1" customFormat="1" x14ac:dyDescent="0.25">
      <c r="A21" s="87" t="s">
        <v>26</v>
      </c>
      <c r="B21" s="88"/>
      <c r="C21" s="58">
        <f>ROUND(C4*C71,0)</f>
        <v>8</v>
      </c>
      <c r="D21" s="92" t="s">
        <v>27</v>
      </c>
      <c r="E21" s="93"/>
      <c r="F21" s="93"/>
      <c r="G21" s="93"/>
      <c r="H21" s="10"/>
    </row>
    <row r="22" spans="1:9" s="1" customFormat="1" x14ac:dyDescent="0.25">
      <c r="A22" s="78"/>
      <c r="B22" s="79" t="s">
        <v>28</v>
      </c>
      <c r="C22" s="59" t="str">
        <f>IF(AND(E90&gt;=366,E90&lt;=396),"January",IF(AND(E90&gt;=397,E90&lt;=424),"February",IF(AND(E90&gt;=425,E90&lt;=455),"March",IF(AND(E90&gt;=456,E90&lt;=485),"April",IF(AND(E90&gt;=486,E90&lt;=516),"May",IF(AND(E90&gt;=517,E90&lt;=546),"June",IF(AND(E90&gt;=547,E90&lt;=577),"July",IF(AND(E90&gt;=578,E90&lt;=608),"August",IF(AND(E90&gt;=244,E90&lt;=273),"September",IF(AND(E90&gt;=274,E90&lt;=304),"October",IF(AND(E90&gt;=305,E90&lt;=344),"November",IF(AND(E90&gt;=335,E90&lt;=365),"December"))))))))))))</f>
        <v>March</v>
      </c>
      <c r="D22" s="110" t="s">
        <v>29</v>
      </c>
      <c r="E22" s="111"/>
      <c r="F22" s="111"/>
      <c r="G22" s="92"/>
      <c r="H22" s="10"/>
    </row>
    <row r="23" spans="1:9" s="1" customFormat="1" ht="15.75" thickBot="1" x14ac:dyDescent="0.3">
      <c r="A23" s="78"/>
      <c r="B23" s="79" t="s">
        <v>30</v>
      </c>
      <c r="C23" s="60">
        <f>IF(AND(C22="February",C9="A"),C61,IF(AND(C22="February",C9="B"),D61,IF(AND(C22="February",C9="C"),E61,IF(AND(C22="March",C9="A"),C62,IF(AND(C22="March",C9="B"),D62,IF(AND(C22="March",C9="C"),E62,IF(AND(C22="April",C9="A"),C63,IF(AND(C22="April",C9="B"),D63,IF(AND(C22="April",C9="C"),E63,IF(AND(C22="May",C9="A"),C64,IF(AND(C22="May",C9="B"),D64,IF(AND(C22="May",C9="C"),E64,IF(AND(C22="June",C9="A"),C65,IF(AND(C22="June",C9="B"),D65,IF(AND(C22="June",C9="C"),E65, IF(AND(C22="July",C9="A"), C66, IF(AND(C22="July", C9="B"), D66, IF(AND(C22="July",C9="C"), E66, IF(AND(C22="August",C9="A"),C67,IF(AND(C22="August",C9="B"),D67,IF(AND(C22="August",C9="C"),E67, IF(AND(C22="September",C9="A"),C56,IF(AND(C22="September",C9="B"),D56,IF(AND(C22="September",C9="C"),E56, IF(AND(C22="October",C9="A"),C57,IF(AND(C22="October",C9="B"),D57,IF(AND(C22="October",C9="C"),E57, IF(AND(C22="November",C9="A"),C58,IF(AND(C22="November",C9="B"),D58,IF(AND(C22="November",C9="C"),E58, IF(AND(C22="December",C9="A"),C59,IF(AND(C22="December",C9="B"),D59,IF(AND(C22="December",C9="C"),E59, IF(AND(C22="January",C9="A"),C60,IF(AND(C22="January",C9="B"),D60,IF(AND(C22="January",C9="C"),E60))))))))))))))))))))))))))))))))))))</f>
        <v>1.1227839498877201</v>
      </c>
      <c r="D23" s="110" t="s">
        <v>31</v>
      </c>
      <c r="E23" s="111"/>
      <c r="F23" s="111"/>
      <c r="G23" s="92"/>
      <c r="H23" s="10"/>
    </row>
    <row r="24" spans="1:9" s="1" customFormat="1" ht="15.75" thickTop="1" x14ac:dyDescent="0.25">
      <c r="A24" s="87" t="s">
        <v>32</v>
      </c>
      <c r="B24" s="94"/>
      <c r="C24" s="66">
        <v>1</v>
      </c>
      <c r="D24" s="112" t="s">
        <v>96</v>
      </c>
      <c r="E24" s="113"/>
      <c r="F24" s="113"/>
      <c r="G24" s="113"/>
      <c r="H24" s="10"/>
    </row>
    <row r="25" spans="1:9" s="1" customFormat="1" ht="20.100000000000001" customHeight="1" x14ac:dyDescent="0.25">
      <c r="A25" s="87" t="s">
        <v>33</v>
      </c>
      <c r="B25" s="94"/>
      <c r="C25" s="67">
        <v>140</v>
      </c>
      <c r="D25" s="92" t="s">
        <v>34</v>
      </c>
      <c r="E25" s="93"/>
      <c r="F25" s="93"/>
      <c r="G25" s="93"/>
      <c r="H25" s="10"/>
    </row>
    <row r="26" spans="1:9" s="12" customFormat="1" ht="16.5" thickBot="1" x14ac:dyDescent="0.3">
      <c r="A26" s="87" t="s">
        <v>20</v>
      </c>
      <c r="B26" s="88"/>
      <c r="C26" s="68">
        <v>1.8</v>
      </c>
      <c r="D26" s="92" t="s">
        <v>35</v>
      </c>
      <c r="E26" s="93"/>
      <c r="F26" s="93"/>
      <c r="G26" s="93"/>
      <c r="H26" s="11"/>
    </row>
    <row r="27" spans="1:9" s="1" customFormat="1" ht="16.5" thickTop="1" thickBot="1" x14ac:dyDescent="0.3">
      <c r="A27" s="123"/>
      <c r="B27" s="124"/>
      <c r="C27" s="125"/>
      <c r="D27" s="124"/>
      <c r="E27" s="124"/>
      <c r="F27" s="124"/>
      <c r="G27" s="126"/>
      <c r="H27" s="10"/>
    </row>
    <row r="28" spans="1:9" s="1" customFormat="1" ht="18.75" x14ac:dyDescent="0.25">
      <c r="A28" s="127" t="s">
        <v>88</v>
      </c>
      <c r="B28" s="128"/>
      <c r="C28" s="128"/>
      <c r="D28" s="128"/>
      <c r="E28" s="128"/>
      <c r="F28" s="128"/>
      <c r="G28" s="129"/>
    </row>
    <row r="29" spans="1:9" s="1" customFormat="1" ht="40.5" customHeight="1" x14ac:dyDescent="0.25">
      <c r="A29" s="73" t="s">
        <v>36</v>
      </c>
      <c r="B29" s="73" t="s">
        <v>37</v>
      </c>
      <c r="C29" s="73" t="s">
        <v>38</v>
      </c>
      <c r="D29" s="130" t="s">
        <v>39</v>
      </c>
      <c r="E29" s="130"/>
      <c r="F29" s="130"/>
      <c r="G29" s="130"/>
    </row>
    <row r="30" spans="1:9" s="16" customFormat="1" x14ac:dyDescent="0.25">
      <c r="A30" s="22">
        <f>IF(C5="A",B48,IF(C5="B",B49,IF(C5="C",B50,IF(C5="D",B51, IF(C5="E", C13)))))</f>
        <v>1.78</v>
      </c>
      <c r="B30" s="14">
        <f>IF(C5="A",C48,IF(C5="B",C48,IF(C5="C",C48,IF(C5="D",C48, IF(C5="E", C14)))))</f>
        <v>160</v>
      </c>
      <c r="C30" s="15">
        <f>IF(C5="A",D48,IF(C5="B",D49,IF(C5="C",D50,IF(C5="D",D51, IF(C5="E", C15)))))</f>
        <v>1.44</v>
      </c>
      <c r="D30" s="131">
        <f>C30*B30</f>
        <v>230.39999999999998</v>
      </c>
      <c r="E30" s="131"/>
      <c r="F30" s="131"/>
      <c r="G30" s="131"/>
    </row>
    <row r="31" spans="1:9" s="16" customFormat="1" x14ac:dyDescent="0.25">
      <c r="A31" s="114"/>
      <c r="B31" s="115"/>
      <c r="C31" s="115"/>
      <c r="D31" s="115"/>
      <c r="E31" s="115"/>
      <c r="F31" s="115"/>
      <c r="G31" s="116"/>
    </row>
    <row r="32" spans="1:9" s="16" customFormat="1" ht="18.75" x14ac:dyDescent="0.25">
      <c r="A32" s="117" t="s">
        <v>89</v>
      </c>
      <c r="B32" s="118"/>
      <c r="C32" s="118"/>
      <c r="D32" s="118"/>
      <c r="E32" s="118"/>
      <c r="F32" s="118"/>
      <c r="G32" s="119"/>
    </row>
    <row r="33" spans="1:10" s="16" customFormat="1" ht="15.75" x14ac:dyDescent="0.25">
      <c r="A33" s="120" t="str">
        <f>IF(C6="A","Value of cow in September",IF(C6="B","Value of cow in October",IF(C6="C","Value of cow in November")))</f>
        <v>Value of cow in October</v>
      </c>
      <c r="B33" s="120"/>
      <c r="C33" s="121" t="str">
        <f>IF(C7="A","Value of cow in February",IF(C7="B","Value of cow in March",IF(C7="C","Value of Cow in April",IF(C7="D","Value of cow in May."))))</f>
        <v>Value of cow in March</v>
      </c>
      <c r="D33" s="121"/>
      <c r="E33" s="120" t="s">
        <v>40</v>
      </c>
      <c r="F33" s="120"/>
      <c r="G33" s="120"/>
      <c r="H33" s="17"/>
      <c r="I33" s="17"/>
      <c r="J33" s="17"/>
    </row>
    <row r="34" spans="1:10" s="1" customFormat="1" ht="15.75" thickBot="1" x14ac:dyDescent="0.3">
      <c r="A34" s="122">
        <f>IF(C6="A",G56,IF(C6="B",G57,IF(C6="C",G58)))</f>
        <v>1350.8715906278082</v>
      </c>
      <c r="B34" s="122"/>
      <c r="C34" s="122">
        <f>IF(C7="A",G61,IF(C7="B",G62,IF(C7="C",G63,IF(C7="D",G64))))</f>
        <v>1716.0629890083915</v>
      </c>
      <c r="D34" s="122"/>
      <c r="E34" s="122">
        <f>C34-A34</f>
        <v>365.19139838058322</v>
      </c>
      <c r="F34" s="122"/>
      <c r="G34" s="122"/>
      <c r="H34" s="10"/>
      <c r="I34" s="10"/>
      <c r="J34" s="10"/>
    </row>
    <row r="35" spans="1:10" s="1" customFormat="1" ht="18.75" x14ac:dyDescent="0.25">
      <c r="A35" s="140" t="s">
        <v>90</v>
      </c>
      <c r="B35" s="141"/>
      <c r="C35" s="141"/>
      <c r="D35" s="141"/>
      <c r="E35" s="141"/>
      <c r="F35" s="141"/>
      <c r="G35" s="142"/>
    </row>
    <row r="36" spans="1:10" s="1" customFormat="1" ht="20.100000000000001" customHeight="1" x14ac:dyDescent="0.25">
      <c r="A36" s="121" t="str">
        <f>IF(C22="January","Value of separately fed cow in January",IF(C22="February","Value of separately fed cow in February",IF(C22="March","Value of separately fed Cow in March",IF(C22="April","Value of cow in April",IF(C22="May","Value of separately fed cow in May",IF(C22="June","Value of separately fed cow in June",IF(C22="July","Value of separately fed cow in July",IF(C22="August","Value of separately fed cow in August",IF(C22="September","Value of separately fed cow in September",IF(C22="October","Value of separately fed cow in October",IF(C22="November","Value of separately fed cow in November",IF(C22="December","Value of separately fed cow in December"))))))))))))</f>
        <v>Value of separately fed Cow in March</v>
      </c>
      <c r="B36" s="121"/>
      <c r="C36" s="121" t="str">
        <f>IF(C7="A","Value of cow in February",IF(C7="B","Value of cow in March",IF(C7="C","Value of Cow in April",IF(C7="D","Value of cow in May."))))</f>
        <v>Value of cow in March</v>
      </c>
      <c r="D36" s="121"/>
      <c r="E36" s="120" t="s">
        <v>40</v>
      </c>
      <c r="F36" s="120"/>
      <c r="G36" s="120"/>
    </row>
    <row r="37" spans="1:10" s="1" customFormat="1" ht="20.100000000000001" customHeight="1" x14ac:dyDescent="0.25">
      <c r="A37" s="143">
        <f>C23*A90</f>
        <v>1740.4422299429345</v>
      </c>
      <c r="B37" s="143"/>
      <c r="C37" s="143">
        <f>IF(C7="A",G61,IF(C7="B",G62,IF(C7="C",G63,IF(C7="D",G64))))</f>
        <v>1716.0629890083915</v>
      </c>
      <c r="D37" s="143"/>
      <c r="E37" s="143">
        <f>A37-C37</f>
        <v>24.379240934543077</v>
      </c>
      <c r="F37" s="143"/>
      <c r="G37" s="143"/>
    </row>
    <row r="38" spans="1:10" s="1" customFormat="1" ht="20.100000000000001" customHeight="1" x14ac:dyDescent="0.25">
      <c r="A38" s="18"/>
      <c r="B38" s="18"/>
      <c r="C38" s="18"/>
      <c r="D38" s="18"/>
      <c r="E38" s="18"/>
      <c r="F38" s="18"/>
      <c r="G38" s="18"/>
    </row>
    <row r="39" spans="1:10" s="1" customFormat="1" ht="20.100000000000001" customHeight="1" thickBot="1" x14ac:dyDescent="0.3">
      <c r="A39" s="132" t="s">
        <v>41</v>
      </c>
      <c r="B39" s="96"/>
      <c r="C39" s="96"/>
      <c r="D39" s="96"/>
      <c r="E39" s="96"/>
      <c r="F39" s="96"/>
      <c r="G39" s="97"/>
    </row>
    <row r="40" spans="1:10" s="1" customFormat="1" ht="20.100000000000001" customHeight="1" x14ac:dyDescent="0.25">
      <c r="A40" s="133" t="s">
        <v>93</v>
      </c>
      <c r="B40" s="134"/>
      <c r="C40" s="135" t="s">
        <v>94</v>
      </c>
      <c r="D40" s="136"/>
      <c r="E40" s="137" t="s">
        <v>95</v>
      </c>
      <c r="F40" s="137"/>
      <c r="G40" s="138"/>
    </row>
    <row r="41" spans="1:10" s="1" customFormat="1" ht="20.100000000000001" customHeight="1" x14ac:dyDescent="0.25">
      <c r="A41" s="19">
        <v>0</v>
      </c>
      <c r="B41" s="77" t="s">
        <v>42</v>
      </c>
      <c r="C41" s="19">
        <f>(((A30*B30)-(E34))*C71)-A71</f>
        <v>-10.560137675304908</v>
      </c>
      <c r="D41" s="77" t="s">
        <v>42</v>
      </c>
      <c r="E41" s="19">
        <f>IF(ISBLANK(C24),"N/A",(((A30*B30)+(E37)-(C25*C24))*C71)-A71)</f>
        <v>8.6568015519598163</v>
      </c>
      <c r="F41" s="139" t="s">
        <v>42</v>
      </c>
      <c r="G41" s="139"/>
    </row>
    <row r="42" spans="1:10" s="20" customFormat="1" ht="18.75" x14ac:dyDescent="0.25">
      <c r="A42" s="19">
        <f>A41*C4</f>
        <v>0</v>
      </c>
      <c r="B42" s="77" t="s">
        <v>43</v>
      </c>
      <c r="C42" s="19">
        <f>C41*C4</f>
        <v>-1056.0137675304909</v>
      </c>
      <c r="D42" s="77" t="s">
        <v>43</v>
      </c>
      <c r="E42" s="19">
        <f>IF(ISBLANK(C24), "N/A",E41*C4)</f>
        <v>865.68015519598157</v>
      </c>
      <c r="F42" s="139" t="s">
        <v>43</v>
      </c>
      <c r="G42" s="139"/>
    </row>
    <row r="43" spans="1:10" s="1" customFormat="1" x14ac:dyDescent="0.25">
      <c r="A43" s="158"/>
      <c r="B43" s="158"/>
      <c r="C43" s="158"/>
      <c r="D43" s="158"/>
      <c r="E43" s="158"/>
      <c r="F43" s="158"/>
      <c r="G43" s="158"/>
    </row>
    <row r="44" spans="1:10" s="1" customFormat="1" ht="15.75" thickBot="1" x14ac:dyDescent="0.3">
      <c r="A44" s="158"/>
      <c r="B44" s="158"/>
      <c r="C44" s="158"/>
      <c r="D44" s="158"/>
      <c r="E44" s="158"/>
      <c r="F44" s="158"/>
      <c r="G44" s="158"/>
    </row>
    <row r="45" spans="1:10" s="1" customFormat="1" ht="18.75" x14ac:dyDescent="0.25">
      <c r="A45" s="159" t="s">
        <v>44</v>
      </c>
      <c r="B45" s="160"/>
      <c r="C45" s="160"/>
      <c r="D45" s="160"/>
      <c r="E45" s="160"/>
      <c r="F45" s="160"/>
      <c r="G45" s="161"/>
    </row>
    <row r="46" spans="1:10" s="1" customFormat="1" ht="18.75" x14ac:dyDescent="0.25">
      <c r="A46" s="162" t="s">
        <v>45</v>
      </c>
      <c r="B46" s="128"/>
      <c r="C46" s="128"/>
      <c r="D46" s="128"/>
      <c r="E46" s="128"/>
      <c r="F46" s="128"/>
      <c r="G46" s="163"/>
    </row>
    <row r="47" spans="1:10" s="16" customFormat="1" ht="31.5" x14ac:dyDescent="0.25">
      <c r="A47" s="13" t="s">
        <v>6</v>
      </c>
      <c r="B47" s="73" t="s">
        <v>16</v>
      </c>
      <c r="C47" s="73" t="s">
        <v>37</v>
      </c>
      <c r="D47" s="73" t="s">
        <v>20</v>
      </c>
      <c r="E47" s="73" t="s">
        <v>46</v>
      </c>
      <c r="F47" s="73" t="s">
        <v>47</v>
      </c>
      <c r="G47" s="74" t="s">
        <v>48</v>
      </c>
    </row>
    <row r="48" spans="1:10" s="1" customFormat="1" x14ac:dyDescent="0.25">
      <c r="A48" s="21" t="s">
        <v>49</v>
      </c>
      <c r="B48" s="22">
        <v>1.78</v>
      </c>
      <c r="C48" s="164">
        <v>160</v>
      </c>
      <c r="D48" s="15">
        <v>1.44</v>
      </c>
      <c r="E48" s="70">
        <f>D48*$C$48</f>
        <v>230.39999999999998</v>
      </c>
      <c r="F48" s="166">
        <v>4.37</v>
      </c>
      <c r="G48" s="167">
        <v>7.6999999999999999E-2</v>
      </c>
    </row>
    <row r="49" spans="1:7" s="1" customFormat="1" ht="20.100000000000001" customHeight="1" x14ac:dyDescent="0.25">
      <c r="A49" s="21" t="s">
        <v>50</v>
      </c>
      <c r="B49" s="15">
        <v>1.2166666666666668</v>
      </c>
      <c r="C49" s="165"/>
      <c r="D49" s="15">
        <v>0.57750000000000001</v>
      </c>
      <c r="E49" s="70">
        <f t="shared" ref="E49:E51" si="0">D49*$C$48</f>
        <v>92.4</v>
      </c>
      <c r="F49" s="166"/>
      <c r="G49" s="167"/>
    </row>
    <row r="50" spans="1:7" s="20" customFormat="1" ht="15.75" x14ac:dyDescent="0.25">
      <c r="A50" s="21" t="s">
        <v>51</v>
      </c>
      <c r="B50" s="15">
        <v>0.98</v>
      </c>
      <c r="C50" s="165"/>
      <c r="D50" s="15">
        <v>0.88</v>
      </c>
      <c r="E50" s="70">
        <f t="shared" si="0"/>
        <v>140.80000000000001</v>
      </c>
      <c r="F50" s="166"/>
      <c r="G50" s="167"/>
    </row>
    <row r="51" spans="1:7" s="1" customFormat="1" x14ac:dyDescent="0.25">
      <c r="A51" s="21" t="s">
        <v>52</v>
      </c>
      <c r="B51" s="23">
        <v>1.78</v>
      </c>
      <c r="C51" s="165"/>
      <c r="D51" s="23">
        <v>1.17</v>
      </c>
      <c r="E51" s="70">
        <f t="shared" si="0"/>
        <v>187.2</v>
      </c>
      <c r="F51" s="166"/>
      <c r="G51" s="167"/>
    </row>
    <row r="52" spans="1:7" s="1" customFormat="1" ht="30" x14ac:dyDescent="0.25">
      <c r="A52" s="24" t="s">
        <v>53</v>
      </c>
      <c r="B52" s="25">
        <f>C13</f>
        <v>1.78</v>
      </c>
      <c r="C52" s="26">
        <f>C14</f>
        <v>160</v>
      </c>
      <c r="D52" s="25">
        <f>C15</f>
        <v>1.44</v>
      </c>
      <c r="E52" s="26">
        <f>D52*C52</f>
        <v>230.39999999999998</v>
      </c>
      <c r="F52" s="27">
        <f>C16</f>
        <v>4.37</v>
      </c>
      <c r="G52" s="28">
        <f>C17</f>
        <v>7.6999999999999999E-2</v>
      </c>
    </row>
    <row r="53" spans="1:7" s="1" customFormat="1" x14ac:dyDescent="0.25">
      <c r="A53" s="144"/>
      <c r="B53" s="145"/>
      <c r="C53" s="145"/>
      <c r="D53" s="145"/>
      <c r="E53" s="145"/>
      <c r="F53" s="145"/>
      <c r="G53" s="146"/>
    </row>
    <row r="54" spans="1:7" s="1" customFormat="1" ht="18.75" x14ac:dyDescent="0.25">
      <c r="A54" s="147" t="s">
        <v>54</v>
      </c>
      <c r="B54" s="148"/>
      <c r="C54" s="148"/>
      <c r="D54" s="148"/>
      <c r="E54" s="148"/>
      <c r="F54" s="148"/>
      <c r="G54" s="149"/>
    </row>
    <row r="55" spans="1:7" s="1" customFormat="1" ht="47.25" x14ac:dyDescent="0.25">
      <c r="A55" s="13" t="s">
        <v>55</v>
      </c>
      <c r="B55" s="73" t="s">
        <v>56</v>
      </c>
      <c r="C55" s="73" t="s">
        <v>57</v>
      </c>
      <c r="D55" s="73" t="s">
        <v>58</v>
      </c>
      <c r="E55" s="73" t="s">
        <v>59</v>
      </c>
      <c r="F55" s="73" t="s">
        <v>60</v>
      </c>
      <c r="G55" s="74" t="s">
        <v>61</v>
      </c>
    </row>
    <row r="56" spans="1:7" s="1" customFormat="1" x14ac:dyDescent="0.25">
      <c r="A56" s="21" t="s">
        <v>62</v>
      </c>
      <c r="B56" s="29">
        <v>0.60019999999999996</v>
      </c>
      <c r="C56" s="30">
        <f>C8</f>
        <v>1</v>
      </c>
      <c r="D56" s="31">
        <f>$D$57*(1+E75)</f>
        <v>1.0695779326793398</v>
      </c>
      <c r="E56" s="31">
        <f>$E$58*(1+F75)</f>
        <v>1.1130481030611039</v>
      </c>
      <c r="F56" s="150">
        <f>688/0.53</f>
        <v>1298.1132075471698</v>
      </c>
      <c r="G56" s="32">
        <f>IF($C$9="A", C56*F56, IF($C$9="B", D56*F56, IF($C$9="C", F56*E56)))</f>
        <v>1444.8624432189424</v>
      </c>
    </row>
    <row r="57" spans="1:7" s="1" customFormat="1" x14ac:dyDescent="0.25">
      <c r="A57" s="21" t="s">
        <v>63</v>
      </c>
      <c r="B57" s="29">
        <v>0.57669999999999999</v>
      </c>
      <c r="C57" s="29">
        <f t="shared" ref="C57:C67" si="1">$C$56*(1+D76)</f>
        <v>0.93494823466949817</v>
      </c>
      <c r="D57" s="30">
        <f>C8</f>
        <v>1</v>
      </c>
      <c r="E57" s="31">
        <f>$E$58*(1+F76)</f>
        <v>1.0406423590592127</v>
      </c>
      <c r="F57" s="151"/>
      <c r="G57" s="32">
        <f>IF($C$9="A", C57*F56, IF($C$9="B", D57*F56, IF($C$9="C", F56*E57)))</f>
        <v>1350.8715906278082</v>
      </c>
    </row>
    <row r="58" spans="1:7" s="1" customFormat="1" x14ac:dyDescent="0.25">
      <c r="A58" s="21" t="s">
        <v>64</v>
      </c>
      <c r="B58" s="29">
        <v>0.54810000000000003</v>
      </c>
      <c r="C58" s="29">
        <f t="shared" si="1"/>
        <v>0.89843376692328114</v>
      </c>
      <c r="D58" s="29">
        <f t="shared" ref="D58:D67" si="2">$D$57*(1+E77)</f>
        <v>0.96094493107511481</v>
      </c>
      <c r="E58" s="30">
        <f>C8</f>
        <v>1</v>
      </c>
      <c r="F58" s="152"/>
      <c r="G58" s="32">
        <f>IF($C$9="A", C58*F56, IF($C$9="B", D58*F56, IF($C$9="C", F56*E58)))</f>
        <v>1298.1132075471698</v>
      </c>
    </row>
    <row r="59" spans="1:7" s="1" customFormat="1" ht="20.100000000000001" customHeight="1" x14ac:dyDescent="0.25">
      <c r="A59" s="21" t="s">
        <v>65</v>
      </c>
      <c r="B59" s="29">
        <f>C78/100</f>
        <v>0.79159999999999997</v>
      </c>
      <c r="C59" s="29">
        <f t="shared" si="1"/>
        <v>0.91718270823062431</v>
      </c>
      <c r="D59" s="29">
        <f t="shared" si="2"/>
        <v>0.98099838495854919</v>
      </c>
      <c r="E59" s="29">
        <f t="shared" ref="E59:E67" si="3">$E$58*(1+F78)</f>
        <v>1.0208684735565423</v>
      </c>
      <c r="F59" s="69"/>
      <c r="G59" s="32"/>
    </row>
    <row r="60" spans="1:7" s="3" customFormat="1" ht="15.75" x14ac:dyDescent="0.25">
      <c r="A60" s="21" t="s">
        <v>66</v>
      </c>
      <c r="B60" s="29">
        <f>C79/100</f>
        <v>0.79035</v>
      </c>
      <c r="C60" s="29">
        <f t="shared" si="1"/>
        <v>0.895619856649854</v>
      </c>
      <c r="D60" s="29">
        <f t="shared" si="2"/>
        <v>0.95793523474211739</v>
      </c>
      <c r="E60" s="29">
        <f t="shared" si="3"/>
        <v>0.9968679825079777</v>
      </c>
      <c r="F60" s="69"/>
      <c r="G60" s="32"/>
    </row>
    <row r="61" spans="1:7" s="1" customFormat="1" x14ac:dyDescent="0.25">
      <c r="A61" s="21" t="s">
        <v>67</v>
      </c>
      <c r="B61" s="29">
        <v>0.52410000000000001</v>
      </c>
      <c r="C61" s="29">
        <f t="shared" si="1"/>
        <v>0.94848685956994938</v>
      </c>
      <c r="D61" s="29">
        <f t="shared" si="2"/>
        <v>1.0144806144323457</v>
      </c>
      <c r="E61" s="29">
        <f t="shared" si="3"/>
        <v>1.0557114998227157</v>
      </c>
      <c r="F61" s="150">
        <f>1298+($C$30*$B$30)</f>
        <v>1528.4</v>
      </c>
      <c r="G61" s="32">
        <f t="shared" ref="G61" si="4">IF($C$9="A", C61*F61, IF($C$9="B", D61*F61, IF($C$9="C", F61*E61)))</f>
        <v>1613.5494563290388</v>
      </c>
    </row>
    <row r="62" spans="1:7" s="1" customFormat="1" x14ac:dyDescent="0.25">
      <c r="A62" s="21" t="s">
        <v>68</v>
      </c>
      <c r="B62" s="29">
        <v>0.5776</v>
      </c>
      <c r="C62" s="29">
        <f t="shared" si="1"/>
        <v>1.0087470135386247</v>
      </c>
      <c r="D62" s="29">
        <f t="shared" si="2"/>
        <v>1.0789335453371003</v>
      </c>
      <c r="E62" s="29">
        <f t="shared" si="3"/>
        <v>1.1227839498877201</v>
      </c>
      <c r="F62" s="151"/>
      <c r="G62" s="32">
        <f>IF($C$9="A", C62*F61, IF($C$9="B", D62*F61, IF($C$9="C", F61*E62)))</f>
        <v>1716.0629890083915</v>
      </c>
    </row>
    <row r="63" spans="1:7" s="1" customFormat="1" ht="20.100000000000001" customHeight="1" x14ac:dyDescent="0.25">
      <c r="A63" s="21" t="s">
        <v>69</v>
      </c>
      <c r="B63" s="29">
        <v>0.60419999999999996</v>
      </c>
      <c r="C63" s="29">
        <f t="shared" si="1"/>
        <v>1.0507034775683566</v>
      </c>
      <c r="D63" s="29">
        <f t="shared" si="2"/>
        <v>1.123809253396556</v>
      </c>
      <c r="E63" s="29">
        <f t="shared" si="3"/>
        <v>1.1694835125871645</v>
      </c>
      <c r="F63" s="151"/>
      <c r="G63" s="32">
        <f>IF($C$9="A", C63*F61, IF($C$9="B", D63*F61, IF($C$9="C", F61*E63)))</f>
        <v>1787.4386006382224</v>
      </c>
    </row>
    <row r="64" spans="1:7" s="1" customFormat="1" ht="20.100000000000001" customHeight="1" x14ac:dyDescent="0.25">
      <c r="A64" s="21" t="s">
        <v>70</v>
      </c>
      <c r="B64" s="29">
        <v>0.60429999999999995</v>
      </c>
      <c r="C64" s="29">
        <f t="shared" si="1"/>
        <v>1.0490443323599681</v>
      </c>
      <c r="D64" s="29">
        <f t="shared" si="2"/>
        <v>1.1220346682945528</v>
      </c>
      <c r="E64" s="29">
        <f t="shared" si="3"/>
        <v>1.1676368041602647</v>
      </c>
      <c r="F64" s="152"/>
      <c r="G64" s="32">
        <f>IF($C$9="A", C64*F61, IF($C$9="B", D64*F61, IF($C$9="C", F61*E64)))</f>
        <v>1784.6160914785487</v>
      </c>
    </row>
    <row r="65" spans="1:7" s="1" customFormat="1" ht="20.100000000000001" customHeight="1" x14ac:dyDescent="0.25">
      <c r="A65" s="33" t="s">
        <v>71</v>
      </c>
      <c r="B65" s="29">
        <f>C84/100</f>
        <v>0.70438999999999996</v>
      </c>
      <c r="C65" s="29">
        <f t="shared" si="1"/>
        <v>1.0265330501725511</v>
      </c>
      <c r="D65" s="29">
        <f t="shared" si="2"/>
        <v>1.0979570976305741</v>
      </c>
      <c r="E65" s="29">
        <f t="shared" si="3"/>
        <v>1.142580664224087</v>
      </c>
      <c r="F65" s="69"/>
      <c r="G65" s="34"/>
    </row>
    <row r="66" spans="1:7" s="12" customFormat="1" ht="15.75" x14ac:dyDescent="0.25">
      <c r="A66" s="33" t="s">
        <v>72</v>
      </c>
      <c r="B66" s="29">
        <f>C85/100</f>
        <v>0.67688000000000004</v>
      </c>
      <c r="C66" s="29">
        <f t="shared" si="1"/>
        <v>1.0386116272896202</v>
      </c>
      <c r="D66" s="29">
        <f t="shared" si="2"/>
        <v>1.110876077173157</v>
      </c>
      <c r="E66" s="29">
        <f t="shared" si="3"/>
        <v>1.1560247015719181</v>
      </c>
      <c r="F66" s="69"/>
      <c r="G66" s="34"/>
    </row>
    <row r="67" spans="1:7" s="1" customFormat="1" x14ac:dyDescent="0.25">
      <c r="A67" s="33" t="s">
        <v>73</v>
      </c>
      <c r="B67" s="29">
        <f>C86/100</f>
        <v>0.69100545238095235</v>
      </c>
      <c r="C67" s="29">
        <f t="shared" si="1"/>
        <v>1.0543068029869531</v>
      </c>
      <c r="D67" s="29">
        <f t="shared" si="2"/>
        <v>1.1276632907485491</v>
      </c>
      <c r="E67" s="29">
        <f t="shared" si="3"/>
        <v>1.1734941871090452</v>
      </c>
      <c r="F67" s="69"/>
      <c r="G67" s="34"/>
    </row>
    <row r="68" spans="1:7" s="1" customFormat="1" x14ac:dyDescent="0.25">
      <c r="A68" s="153"/>
      <c r="B68" s="115"/>
      <c r="C68" s="115"/>
      <c r="D68" s="115"/>
      <c r="E68" s="115"/>
      <c r="F68" s="115"/>
      <c r="G68" s="154"/>
    </row>
    <row r="69" spans="1:7" s="1" customFormat="1" ht="18.75" x14ac:dyDescent="0.25">
      <c r="A69" s="155" t="s">
        <v>74</v>
      </c>
      <c r="B69" s="156"/>
      <c r="C69" s="156"/>
      <c r="D69" s="156"/>
      <c r="E69" s="156"/>
      <c r="F69" s="156"/>
      <c r="G69" s="157"/>
    </row>
    <row r="70" spans="1:7" s="1" customFormat="1" ht="15.75" x14ac:dyDescent="0.25">
      <c r="A70" s="176" t="s">
        <v>75</v>
      </c>
      <c r="B70" s="103"/>
      <c r="C70" s="103" t="s">
        <v>76</v>
      </c>
      <c r="D70" s="103"/>
      <c r="E70" s="103"/>
      <c r="F70" s="103"/>
      <c r="G70" s="177"/>
    </row>
    <row r="71" spans="1:7" s="1" customFormat="1" x14ac:dyDescent="0.25">
      <c r="A71" s="178">
        <f>IF(C5="A",F48,IF(C5="B",F48,IF(C5="C",F48,IF(C5="D",F48, IF(C5="E", C16)))))</f>
        <v>4.37</v>
      </c>
      <c r="B71" s="179"/>
      <c r="C71" s="180">
        <f>IF(C5="A",G48,IF(C5="B",G48,IF(C5="C",G48,IF(C5="D",G48, IF(C5="E", C17)))))</f>
        <v>7.6999999999999999E-2</v>
      </c>
      <c r="D71" s="180"/>
      <c r="E71" s="180"/>
      <c r="F71" s="180"/>
      <c r="G71" s="181"/>
    </row>
    <row r="72" spans="1:7" s="1" customFormat="1" x14ac:dyDescent="0.25">
      <c r="A72" s="182"/>
      <c r="B72" s="183"/>
      <c r="C72" s="183"/>
      <c r="D72" s="183"/>
      <c r="E72" s="183"/>
      <c r="F72" s="183"/>
      <c r="G72" s="184"/>
    </row>
    <row r="73" spans="1:7" s="1" customFormat="1" ht="18.75" x14ac:dyDescent="0.25">
      <c r="A73" s="185" t="s">
        <v>77</v>
      </c>
      <c r="B73" s="186"/>
      <c r="C73" s="186"/>
      <c r="D73" s="186"/>
      <c r="E73" s="186"/>
      <c r="F73" s="186"/>
      <c r="G73" s="187"/>
    </row>
    <row r="74" spans="1:7" s="1" customFormat="1" ht="31.5" x14ac:dyDescent="0.25">
      <c r="A74" s="35" t="s">
        <v>55</v>
      </c>
      <c r="B74" s="36"/>
      <c r="C74" s="73" t="s">
        <v>99</v>
      </c>
      <c r="D74" s="73" t="s">
        <v>79</v>
      </c>
      <c r="E74" s="73" t="s">
        <v>80</v>
      </c>
      <c r="F74" s="130" t="s">
        <v>81</v>
      </c>
      <c r="G74" s="168"/>
    </row>
    <row r="75" spans="1:7" s="1" customFormat="1" x14ac:dyDescent="0.25">
      <c r="A75" s="169" t="s">
        <v>62</v>
      </c>
      <c r="B75" s="93"/>
      <c r="C75" s="34">
        <v>67.475999999999999</v>
      </c>
      <c r="D75" s="76">
        <v>0</v>
      </c>
      <c r="E75" s="75">
        <v>6.957793267933976E-2</v>
      </c>
      <c r="F75" s="204">
        <v>0.11304810306110391</v>
      </c>
      <c r="G75" s="205"/>
    </row>
    <row r="76" spans="1:7" s="1" customFormat="1" x14ac:dyDescent="0.25">
      <c r="A76" s="169" t="s">
        <v>63</v>
      </c>
      <c r="B76" s="93"/>
      <c r="C76" s="34">
        <v>71.458999999999989</v>
      </c>
      <c r="D76" s="75">
        <v>-6.5051765330501832E-2</v>
      </c>
      <c r="E76" s="76">
        <v>0</v>
      </c>
      <c r="F76" s="204">
        <v>4.0642359059212652E-2</v>
      </c>
      <c r="G76" s="205"/>
    </row>
    <row r="77" spans="1:7" s="1" customFormat="1" x14ac:dyDescent="0.25">
      <c r="A77" s="172" t="s">
        <v>64</v>
      </c>
      <c r="B77" s="173"/>
      <c r="C77" s="37">
        <v>75.998999999999995</v>
      </c>
      <c r="D77" s="71">
        <v>-0.10156623307671886</v>
      </c>
      <c r="E77" s="71">
        <v>-3.9055068924885195E-2</v>
      </c>
      <c r="F77" s="206">
        <v>0</v>
      </c>
      <c r="G77" s="207"/>
    </row>
    <row r="78" spans="1:7" s="1" customFormat="1" x14ac:dyDescent="0.25">
      <c r="A78" s="172" t="s">
        <v>65</v>
      </c>
      <c r="B78" s="173"/>
      <c r="C78" s="37">
        <v>79.16</v>
      </c>
      <c r="D78" s="71">
        <v>-8.2817291769375689E-2</v>
      </c>
      <c r="E78" s="71">
        <v>-1.9001615041450814E-2</v>
      </c>
      <c r="F78" s="208">
        <v>2.0868473556542311E-2</v>
      </c>
      <c r="G78" s="209"/>
    </row>
    <row r="79" spans="1:7" s="1" customFormat="1" x14ac:dyDescent="0.25">
      <c r="A79" s="172" t="s">
        <v>66</v>
      </c>
      <c r="B79" s="173"/>
      <c r="C79" s="37">
        <v>79.034999999999997</v>
      </c>
      <c r="D79" s="71">
        <v>-0.104380143350146</v>
      </c>
      <c r="E79" s="71">
        <v>-4.2064765257882608E-2</v>
      </c>
      <c r="F79" s="208">
        <v>-3.1320174920222987E-3</v>
      </c>
      <c r="G79" s="209"/>
    </row>
    <row r="80" spans="1:7" s="1" customFormat="1" x14ac:dyDescent="0.25">
      <c r="A80" s="172" t="s">
        <v>67</v>
      </c>
      <c r="B80" s="173"/>
      <c r="C80" s="37">
        <v>77.338999999999999</v>
      </c>
      <c r="D80" s="71">
        <v>-5.1513140430050619E-2</v>
      </c>
      <c r="E80" s="71">
        <v>1.4480614432345718E-2</v>
      </c>
      <c r="F80" s="208">
        <v>5.5711499822715727E-2</v>
      </c>
      <c r="G80" s="209"/>
    </row>
    <row r="81" spans="1:7" s="1" customFormat="1" x14ac:dyDescent="0.25">
      <c r="A81" s="172" t="s">
        <v>68</v>
      </c>
      <c r="B81" s="173"/>
      <c r="C81" s="37">
        <v>78.248999999999995</v>
      </c>
      <c r="D81" s="71">
        <v>8.7470135386247261E-3</v>
      </c>
      <c r="E81" s="71">
        <v>7.8933545337100286E-2</v>
      </c>
      <c r="F81" s="208">
        <v>0.12278394988772012</v>
      </c>
      <c r="G81" s="209"/>
    </row>
    <row r="82" spans="1:7" s="1" customFormat="1" x14ac:dyDescent="0.25">
      <c r="A82" s="172" t="s">
        <v>69</v>
      </c>
      <c r="B82" s="173"/>
      <c r="C82" s="37">
        <v>79.431474537037047</v>
      </c>
      <c r="D82" s="71">
        <v>5.0703477568356581E-2</v>
      </c>
      <c r="E82" s="71">
        <v>0.12380925339655602</v>
      </c>
      <c r="F82" s="208">
        <v>0.16948351258716454</v>
      </c>
      <c r="G82" s="209"/>
    </row>
    <row r="83" spans="1:7" s="1" customFormat="1" x14ac:dyDescent="0.25">
      <c r="A83" s="172" t="s">
        <v>70</v>
      </c>
      <c r="B83" s="173"/>
      <c r="C83" s="37">
        <v>75.34</v>
      </c>
      <c r="D83" s="71">
        <v>4.9044332359968079E-2</v>
      </c>
      <c r="E83" s="71">
        <v>0.12203466829455278</v>
      </c>
      <c r="F83" s="208">
        <v>0.16763680416026472</v>
      </c>
      <c r="G83" s="209"/>
    </row>
    <row r="84" spans="1:7" s="1" customFormat="1" x14ac:dyDescent="0.25">
      <c r="A84" s="172" t="s">
        <v>82</v>
      </c>
      <c r="B84" s="173"/>
      <c r="C84" s="37">
        <v>70.438999999999993</v>
      </c>
      <c r="D84" s="71">
        <v>2.6533050172551143E-2</v>
      </c>
      <c r="E84" s="71">
        <v>9.7957097630574141E-2</v>
      </c>
      <c r="F84" s="208">
        <v>0.14258066422408699</v>
      </c>
      <c r="G84" s="209"/>
    </row>
    <row r="85" spans="1:7" s="1" customFormat="1" x14ac:dyDescent="0.25">
      <c r="A85" s="172" t="s">
        <v>72</v>
      </c>
      <c r="B85" s="173"/>
      <c r="C85" s="37">
        <v>67.688000000000002</v>
      </c>
      <c r="D85" s="71">
        <v>3.8611627289620198E-2</v>
      </c>
      <c r="E85" s="71">
        <v>0.11087607717315695</v>
      </c>
      <c r="F85" s="208">
        <v>0.15602470157191806</v>
      </c>
      <c r="G85" s="209"/>
    </row>
    <row r="86" spans="1:7" s="1" customFormat="1" ht="15.75" thickBot="1" x14ac:dyDescent="0.3">
      <c r="A86" s="192" t="s">
        <v>73</v>
      </c>
      <c r="B86" s="193"/>
      <c r="C86" s="38">
        <v>69.100545238095236</v>
      </c>
      <c r="D86" s="72">
        <v>5.4306802986953118E-2</v>
      </c>
      <c r="E86" s="72">
        <v>0.1276632907485491</v>
      </c>
      <c r="F86" s="210">
        <v>0.17349418710904518</v>
      </c>
      <c r="G86" s="211"/>
    </row>
    <row r="87" spans="1:7" s="1" customFormat="1" x14ac:dyDescent="0.25"/>
    <row r="88" spans="1:7" s="1" customFormat="1" ht="18.75" x14ac:dyDescent="0.25">
      <c r="A88" s="188" t="s">
        <v>83</v>
      </c>
      <c r="B88" s="186"/>
      <c r="C88" s="186"/>
      <c r="D88" s="186"/>
      <c r="E88" s="186"/>
      <c r="F88" s="186"/>
      <c r="G88" s="187"/>
    </row>
    <row r="89" spans="1:7" s="1" customFormat="1" x14ac:dyDescent="0.25">
      <c r="A89" s="189" t="s">
        <v>84</v>
      </c>
      <c r="B89" s="189"/>
      <c r="C89" s="190" t="s">
        <v>85</v>
      </c>
      <c r="D89" s="190"/>
      <c r="E89" s="190" t="s">
        <v>86</v>
      </c>
      <c r="F89" s="190"/>
      <c r="G89" s="190"/>
    </row>
    <row r="90" spans="1:7" s="1" customFormat="1" x14ac:dyDescent="0.25">
      <c r="A90" s="191">
        <f>(F56+(C26*C25))</f>
        <v>1550.1132075471698</v>
      </c>
      <c r="B90" s="191"/>
      <c r="C90" s="179">
        <f>IF(C6="A", 258, IF(C6="B", 288, IF(C6="C",319)))</f>
        <v>288</v>
      </c>
      <c r="D90" s="179"/>
      <c r="E90" s="179">
        <f>C90+C25</f>
        <v>428</v>
      </c>
      <c r="F90" s="179"/>
      <c r="G90" s="179"/>
    </row>
    <row r="91" spans="1:7" s="39" customFormat="1" x14ac:dyDescent="0.2">
      <c r="A91" s="1"/>
      <c r="E91" s="40"/>
      <c r="F91" s="41"/>
      <c r="G91" s="41"/>
    </row>
    <row r="92" spans="1:7" s="39" customFormat="1" x14ac:dyDescent="0.25">
      <c r="A92"/>
      <c r="B92" s="1"/>
      <c r="E92" s="40"/>
      <c r="F92" s="41"/>
      <c r="G92" s="41"/>
    </row>
    <row r="93" spans="1:7" s="39" customFormat="1" x14ac:dyDescent="0.2">
      <c r="A93" s="1"/>
      <c r="B93" s="1"/>
      <c r="C93" s="1"/>
      <c r="D93" s="1"/>
      <c r="E93" s="40"/>
      <c r="F93" s="41"/>
      <c r="G93" s="41"/>
    </row>
    <row r="94" spans="1:7" s="39" customFormat="1" x14ac:dyDescent="0.2">
      <c r="C94" s="1"/>
      <c r="D94" s="1"/>
      <c r="E94" s="40"/>
      <c r="F94" s="41"/>
      <c r="G94" s="41"/>
    </row>
    <row r="95" spans="1:7" s="39" customFormat="1" ht="14.25" x14ac:dyDescent="0.2">
      <c r="E95" s="42"/>
      <c r="F95" s="43"/>
      <c r="G95" s="43"/>
    </row>
    <row r="96" spans="1:7" s="39" customFormat="1" ht="14.25" x14ac:dyDescent="0.2">
      <c r="E96" s="42"/>
      <c r="F96" s="43"/>
      <c r="G96" s="43"/>
    </row>
    <row r="97" spans="1:7" x14ac:dyDescent="0.25">
      <c r="A97" s="39"/>
      <c r="B97" s="39"/>
      <c r="C97" s="39"/>
      <c r="D97" s="39"/>
      <c r="E97" s="42"/>
      <c r="F97" s="44"/>
      <c r="G97" s="44"/>
    </row>
    <row r="98" spans="1:7" x14ac:dyDescent="0.25">
      <c r="A98" s="39"/>
      <c r="B98" s="39"/>
      <c r="C98" s="39"/>
      <c r="D98" s="39"/>
      <c r="E98" s="42"/>
      <c r="F98" s="44"/>
      <c r="G98" s="44"/>
    </row>
    <row r="99" spans="1:7" x14ac:dyDescent="0.25">
      <c r="A99" s="39"/>
      <c r="B99" s="39"/>
      <c r="C99" s="39"/>
      <c r="D99" s="39"/>
      <c r="E99" s="42"/>
      <c r="F99" s="44"/>
      <c r="G99" s="44"/>
    </row>
    <row r="100" spans="1:7" x14ac:dyDescent="0.25">
      <c r="A100" s="39"/>
      <c r="B100" s="39"/>
      <c r="C100" s="39"/>
      <c r="D100" s="39"/>
      <c r="E100" s="42"/>
      <c r="F100" s="44"/>
      <c r="G100" s="44"/>
    </row>
    <row r="101" spans="1:7" x14ac:dyDescent="0.25">
      <c r="C101" s="39"/>
      <c r="D101" s="39"/>
      <c r="E101" s="39"/>
      <c r="F101" s="39"/>
      <c r="G101" s="39"/>
    </row>
    <row r="109" spans="1:7" x14ac:dyDescent="0.25">
      <c r="A109" s="57" t="s">
        <v>91</v>
      </c>
    </row>
  </sheetData>
  <mergeCells count="121">
    <mergeCell ref="A88:G88"/>
    <mergeCell ref="A89:B89"/>
    <mergeCell ref="C89:D89"/>
    <mergeCell ref="E89:G89"/>
    <mergeCell ref="A90:B90"/>
    <mergeCell ref="C90:D90"/>
    <mergeCell ref="E90:G90"/>
    <mergeCell ref="A84:B84"/>
    <mergeCell ref="F84:G84"/>
    <mergeCell ref="A85:B85"/>
    <mergeCell ref="F85:G85"/>
    <mergeCell ref="A86:B86"/>
    <mergeCell ref="F86:G86"/>
    <mergeCell ref="A81:B81"/>
    <mergeCell ref="F81:G81"/>
    <mergeCell ref="A82:B82"/>
    <mergeCell ref="F82:G82"/>
    <mergeCell ref="A83:B83"/>
    <mergeCell ref="F83:G83"/>
    <mergeCell ref="A78:B78"/>
    <mergeCell ref="F78:G78"/>
    <mergeCell ref="A79:B79"/>
    <mergeCell ref="F79:G79"/>
    <mergeCell ref="A80:B80"/>
    <mergeCell ref="F80:G80"/>
    <mergeCell ref="F74:G74"/>
    <mergeCell ref="A75:B75"/>
    <mergeCell ref="F75:G75"/>
    <mergeCell ref="A76:B76"/>
    <mergeCell ref="F76:G76"/>
    <mergeCell ref="A77:B77"/>
    <mergeCell ref="F77:G77"/>
    <mergeCell ref="A70:B70"/>
    <mergeCell ref="C70:G70"/>
    <mergeCell ref="A71:B71"/>
    <mergeCell ref="C71:G71"/>
    <mergeCell ref="A72:G72"/>
    <mergeCell ref="A73:G73"/>
    <mergeCell ref="A53:G53"/>
    <mergeCell ref="A54:G54"/>
    <mergeCell ref="F56:F58"/>
    <mergeCell ref="F61:F64"/>
    <mergeCell ref="A68:G68"/>
    <mergeCell ref="A69:G69"/>
    <mergeCell ref="A43:G44"/>
    <mergeCell ref="A45:G45"/>
    <mergeCell ref="A46:G46"/>
    <mergeCell ref="C48:C51"/>
    <mergeCell ref="F48:F51"/>
    <mergeCell ref="G48:G51"/>
    <mergeCell ref="A39:G39"/>
    <mergeCell ref="A40:B40"/>
    <mergeCell ref="C40:D40"/>
    <mergeCell ref="E40:G40"/>
    <mergeCell ref="F41:G41"/>
    <mergeCell ref="F42:G42"/>
    <mergeCell ref="A35:G35"/>
    <mergeCell ref="A36:B36"/>
    <mergeCell ref="C36:D36"/>
    <mergeCell ref="E36:G36"/>
    <mergeCell ref="A37:B37"/>
    <mergeCell ref="C37:D37"/>
    <mergeCell ref="E37:G37"/>
    <mergeCell ref="A31:G31"/>
    <mergeCell ref="A32:G32"/>
    <mergeCell ref="A33:B33"/>
    <mergeCell ref="C33:D33"/>
    <mergeCell ref="E33:G33"/>
    <mergeCell ref="A34:B34"/>
    <mergeCell ref="C34:D34"/>
    <mergeCell ref="E34:G34"/>
    <mergeCell ref="A26:B26"/>
    <mergeCell ref="D26:G26"/>
    <mergeCell ref="A27:G27"/>
    <mergeCell ref="A28:G28"/>
    <mergeCell ref="D29:G29"/>
    <mergeCell ref="D30:G30"/>
    <mergeCell ref="D22:G22"/>
    <mergeCell ref="D23:G23"/>
    <mergeCell ref="A24:B24"/>
    <mergeCell ref="D24:G24"/>
    <mergeCell ref="A25:B25"/>
    <mergeCell ref="D25:G25"/>
    <mergeCell ref="A18:B18"/>
    <mergeCell ref="C18:G18"/>
    <mergeCell ref="A19:G19"/>
    <mergeCell ref="A20:B20"/>
    <mergeCell ref="D20:G20"/>
    <mergeCell ref="A21:B21"/>
    <mergeCell ref="D21:G21"/>
    <mergeCell ref="A16:B16"/>
    <mergeCell ref="D16:G16"/>
    <mergeCell ref="A17:B17"/>
    <mergeCell ref="D17:G17"/>
    <mergeCell ref="A11:G11"/>
    <mergeCell ref="A12:B12"/>
    <mergeCell ref="D12:G12"/>
    <mergeCell ref="A13:B13"/>
    <mergeCell ref="D13:G13"/>
    <mergeCell ref="A14:B14"/>
    <mergeCell ref="D14:G14"/>
    <mergeCell ref="A10:B10"/>
    <mergeCell ref="C10:G10"/>
    <mergeCell ref="A5:B5"/>
    <mergeCell ref="D5:G5"/>
    <mergeCell ref="A6:B6"/>
    <mergeCell ref="D6:G6"/>
    <mergeCell ref="A7:B7"/>
    <mergeCell ref="D7:G7"/>
    <mergeCell ref="A15:B15"/>
    <mergeCell ref="D15:G15"/>
    <mergeCell ref="A1:G1"/>
    <mergeCell ref="A2:G2"/>
    <mergeCell ref="A3:B3"/>
    <mergeCell ref="D3:G3"/>
    <mergeCell ref="A4:B4"/>
    <mergeCell ref="D4:G4"/>
    <mergeCell ref="A8:B8"/>
    <mergeCell ref="D8:G8"/>
    <mergeCell ref="A9:B9"/>
    <mergeCell ref="D9:G9"/>
  </mergeCells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Basic Model - 2017</vt:lpstr>
      <vt:lpstr>Basic Model</vt:lpstr>
      <vt:lpstr>Basic Model - update %</vt:lpstr>
      <vt:lpstr>'Basic Model'!Print_Area</vt:lpstr>
      <vt:lpstr>'Basic Model - 2017'!Print_Area</vt:lpstr>
      <vt:lpstr>'Basic Model - update %'!Print_Area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Huiting Huang</cp:lastModifiedBy>
  <cp:revision/>
  <cp:lastPrinted>2016-03-16T16:06:07Z</cp:lastPrinted>
  <dcterms:created xsi:type="dcterms:W3CDTF">2015-07-08T02:06:42Z</dcterms:created>
  <dcterms:modified xsi:type="dcterms:W3CDTF">2017-08-28T14:36:03Z</dcterms:modified>
</cp:coreProperties>
</file>